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0" yWindow="240" windowWidth="10260" windowHeight="8610" tabRatio="689" firstSheet="3" activeTab="3"/>
  </bookViews>
  <sheets>
    <sheet name="SISTEMA_INDICADORES" sheetId="2" r:id="rId1"/>
    <sheet name="MATRIZ_PRIORIZACION" sheetId="4" r:id="rId2"/>
    <sheet name="EST_TIEMPOS_VTAS" sheetId="5" r:id="rId3"/>
    <sheet name="EST_TIEMPOS_RECUB" sheetId="6" r:id="rId4"/>
    <sheet name="EST_TIEMPOS_BEMA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Q29" i="6" l="1"/>
  <c r="Q27" i="6"/>
  <c r="Q25" i="6"/>
  <c r="N23" i="6"/>
  <c r="R25" i="6"/>
  <c r="S25" i="6" l="1"/>
  <c r="S29" i="6"/>
  <c r="R29" i="6"/>
  <c r="N24" i="6"/>
  <c r="R27" i="6"/>
  <c r="E77" i="7" l="1"/>
  <c r="Y40" i="7"/>
  <c r="X40" i="7"/>
  <c r="E61" i="6"/>
  <c r="S10" i="6"/>
  <c r="C102" i="7"/>
  <c r="I95" i="7"/>
  <c r="C104" i="7" s="1"/>
  <c r="H95" i="7"/>
  <c r="C103" i="7" s="1"/>
  <c r="G95" i="7"/>
  <c r="F95" i="7"/>
  <c r="C101" i="7" s="1"/>
  <c r="E95" i="7"/>
  <c r="C100" i="7" s="1"/>
  <c r="D95" i="7"/>
  <c r="C99" i="7" s="1"/>
  <c r="C95" i="7"/>
  <c r="C98" i="7" s="1"/>
  <c r="C105" i="7" s="1"/>
  <c r="BR77" i="7"/>
  <c r="BS77" i="7" s="1"/>
  <c r="BQ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Z77" i="7"/>
  <c r="AB77" i="7" s="1"/>
  <c r="AD77" i="7" s="1"/>
  <c r="J91" i="7" s="1"/>
  <c r="D99" i="7" s="1"/>
  <c r="BL76" i="7"/>
  <c r="BG76" i="7"/>
  <c r="BB76" i="7"/>
  <c r="AW76" i="7"/>
  <c r="AR76" i="7"/>
  <c r="BR76" i="7" s="1"/>
  <c r="BS76" i="7" s="1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Y76" i="7" s="1"/>
  <c r="BQ75" i="7"/>
  <c r="BR75" i="7" s="1"/>
  <c r="BS75" i="7" s="1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Z75" i="7" s="1"/>
  <c r="AB75" i="7" s="1"/>
  <c r="AD75" i="7" s="1"/>
  <c r="J89" i="7" s="1"/>
  <c r="BR74" i="7"/>
  <c r="BS74" i="7" s="1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Z74" i="7" s="1"/>
  <c r="AB74" i="7" s="1"/>
  <c r="AD74" i="7" s="1"/>
  <c r="J88" i="7" s="1"/>
  <c r="D101" i="7" s="1"/>
  <c r="BR73" i="7"/>
  <c r="BS73" i="7" s="1"/>
  <c r="BQ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Y73" i="7" s="1"/>
  <c r="BL72" i="7"/>
  <c r="BG72" i="7"/>
  <c r="BB72" i="7"/>
  <c r="AW72" i="7"/>
  <c r="AR72" i="7"/>
  <c r="BR72" i="7" s="1"/>
  <c r="BS72" i="7" s="1"/>
  <c r="X72" i="7"/>
  <c r="X78" i="7" s="1"/>
  <c r="W72" i="7"/>
  <c r="W78" i="7" s="1"/>
  <c r="V72" i="7"/>
  <c r="V78" i="7" s="1"/>
  <c r="U72" i="7"/>
  <c r="U78" i="7" s="1"/>
  <c r="T72" i="7"/>
  <c r="T78" i="7" s="1"/>
  <c r="S72" i="7"/>
  <c r="S78" i="7" s="1"/>
  <c r="R72" i="7"/>
  <c r="R78" i="7" s="1"/>
  <c r="Q72" i="7"/>
  <c r="Q78" i="7" s="1"/>
  <c r="P72" i="7"/>
  <c r="P78" i="7" s="1"/>
  <c r="O72" i="7"/>
  <c r="O78" i="7" s="1"/>
  <c r="N72" i="7"/>
  <c r="N78" i="7" s="1"/>
  <c r="M72" i="7"/>
  <c r="M78" i="7" s="1"/>
  <c r="L72" i="7"/>
  <c r="L78" i="7" s="1"/>
  <c r="K72" i="7"/>
  <c r="K78" i="7" s="1"/>
  <c r="J72" i="7"/>
  <c r="J78" i="7" s="1"/>
  <c r="I72" i="7"/>
  <c r="I78" i="7" s="1"/>
  <c r="H72" i="7"/>
  <c r="H78" i="7" s="1"/>
  <c r="G72" i="7"/>
  <c r="G78" i="7" s="1"/>
  <c r="F72" i="7"/>
  <c r="F78" i="7" s="1"/>
  <c r="E72" i="7"/>
  <c r="E78" i="7" s="1"/>
  <c r="K56" i="7"/>
  <c r="I56" i="7"/>
  <c r="H56" i="7"/>
  <c r="G56" i="7"/>
  <c r="F56" i="7"/>
  <c r="E56" i="7"/>
  <c r="AD46" i="7"/>
  <c r="AD45" i="7"/>
  <c r="AD44" i="7"/>
  <c r="AD43" i="7"/>
  <c r="AD42" i="7"/>
  <c r="AD41" i="7"/>
  <c r="AD40" i="7"/>
  <c r="AD39" i="7"/>
  <c r="AE39" i="7" s="1"/>
  <c r="AD38" i="7"/>
  <c r="AD37" i="7"/>
  <c r="X37" i="7"/>
  <c r="X38" i="7" s="1"/>
  <c r="W37" i="7"/>
  <c r="W38" i="7" s="1"/>
  <c r="V37" i="7"/>
  <c r="V38" i="7" s="1"/>
  <c r="U37" i="7"/>
  <c r="U38" i="7" s="1"/>
  <c r="T37" i="7"/>
  <c r="T38" i="7" s="1"/>
  <c r="S37" i="7"/>
  <c r="S38" i="7" s="1"/>
  <c r="R37" i="7"/>
  <c r="R38" i="7" s="1"/>
  <c r="Q37" i="7"/>
  <c r="Q38" i="7" s="1"/>
  <c r="P37" i="7"/>
  <c r="P38" i="7" s="1"/>
  <c r="O37" i="7"/>
  <c r="O38" i="7" s="1"/>
  <c r="N37" i="7"/>
  <c r="N38" i="7" s="1"/>
  <c r="M37" i="7"/>
  <c r="M38" i="7" s="1"/>
  <c r="L37" i="7"/>
  <c r="L38" i="7" s="1"/>
  <c r="K37" i="7"/>
  <c r="K38" i="7" s="1"/>
  <c r="J37" i="7"/>
  <c r="J38" i="7" s="1"/>
  <c r="I37" i="7"/>
  <c r="I38" i="7" s="1"/>
  <c r="H37" i="7"/>
  <c r="H38" i="7" s="1"/>
  <c r="G37" i="7"/>
  <c r="G38" i="7" s="1"/>
  <c r="F37" i="7"/>
  <c r="F38" i="7" s="1"/>
  <c r="E37" i="7"/>
  <c r="AD36" i="7"/>
  <c r="AD35" i="7"/>
  <c r="AD34" i="7"/>
  <c r="AD33" i="7"/>
  <c r="AD32" i="7"/>
  <c r="AD31" i="7"/>
  <c r="AD30" i="7"/>
  <c r="AE30" i="7" s="1"/>
  <c r="E26" i="7"/>
  <c r="E27" i="7" s="1"/>
  <c r="F26" i="7" s="1"/>
  <c r="F27" i="7" s="1"/>
  <c r="G26" i="7" s="1"/>
  <c r="G27" i="7" s="1"/>
  <c r="H26" i="7" s="1"/>
  <c r="H27" i="7" s="1"/>
  <c r="I26" i="7" s="1"/>
  <c r="I27" i="7" s="1"/>
  <c r="J26" i="7" s="1"/>
  <c r="J27" i="7" s="1"/>
  <c r="K26" i="7" s="1"/>
  <c r="K27" i="7" s="1"/>
  <c r="L26" i="7" s="1"/>
  <c r="L27" i="7" s="1"/>
  <c r="M26" i="7" s="1"/>
  <c r="M27" i="7" s="1"/>
  <c r="N26" i="7" s="1"/>
  <c r="N27" i="7" s="1"/>
  <c r="O26" i="7" s="1"/>
  <c r="O27" i="7" s="1"/>
  <c r="P26" i="7" s="1"/>
  <c r="P27" i="7" s="1"/>
  <c r="Q26" i="7" s="1"/>
  <c r="Q27" i="7" s="1"/>
  <c r="R26" i="7" s="1"/>
  <c r="R27" i="7" s="1"/>
  <c r="S26" i="7" s="1"/>
  <c r="S27" i="7" s="1"/>
  <c r="T26" i="7" s="1"/>
  <c r="T27" i="7" s="1"/>
  <c r="U26" i="7" s="1"/>
  <c r="U27" i="7" s="1"/>
  <c r="V26" i="7" s="1"/>
  <c r="V27" i="7" s="1"/>
  <c r="W26" i="7" s="1"/>
  <c r="W27" i="7" s="1"/>
  <c r="X26" i="7" s="1"/>
  <c r="X27" i="7" s="1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D22" i="7"/>
  <c r="AD20" i="7"/>
  <c r="AD18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AD14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AG11" i="7"/>
  <c r="AD11" i="7"/>
  <c r="C92" i="6"/>
  <c r="C90" i="6"/>
  <c r="C87" i="6"/>
  <c r="I84" i="6"/>
  <c r="C93" i="6" s="1"/>
  <c r="H84" i="6"/>
  <c r="G84" i="6"/>
  <c r="C91" i="6" s="1"/>
  <c r="F84" i="6"/>
  <c r="E84" i="6"/>
  <c r="C89" i="6" s="1"/>
  <c r="D84" i="6"/>
  <c r="C88" i="6" s="1"/>
  <c r="C84" i="6"/>
  <c r="BR65" i="6"/>
  <c r="BS65" i="6" s="1"/>
  <c r="K65" i="6"/>
  <c r="G65" i="6"/>
  <c r="BL64" i="6"/>
  <c r="BG64" i="6"/>
  <c r="BR64" i="6" s="1"/>
  <c r="BS64" i="6" s="1"/>
  <c r="K64" i="6"/>
  <c r="G64" i="6"/>
  <c r="BR63" i="6"/>
  <c r="BS63" i="6" s="1"/>
  <c r="BB63" i="6"/>
  <c r="N63" i="6"/>
  <c r="M63" i="6"/>
  <c r="L63" i="6"/>
  <c r="K63" i="6"/>
  <c r="J63" i="6"/>
  <c r="I63" i="6"/>
  <c r="H63" i="6"/>
  <c r="G63" i="6"/>
  <c r="F63" i="6"/>
  <c r="P63" i="6" s="1"/>
  <c r="R63" i="6" s="1"/>
  <c r="T63" i="6" s="1"/>
  <c r="J78" i="6" s="1"/>
  <c r="E63" i="6"/>
  <c r="BS62" i="6"/>
  <c r="BR62" i="6"/>
  <c r="N62" i="6"/>
  <c r="L62" i="6"/>
  <c r="J62" i="6"/>
  <c r="H62" i="6"/>
  <c r="F62" i="6"/>
  <c r="BB61" i="6"/>
  <c r="BR61" i="6" s="1"/>
  <c r="BS61" i="6" s="1"/>
  <c r="K61" i="6"/>
  <c r="G61" i="6"/>
  <c r="AW60" i="6"/>
  <c r="AR60" i="6"/>
  <c r="AM60" i="6"/>
  <c r="AH60" i="6"/>
  <c r="BR60" i="6" s="1"/>
  <c r="BS60" i="6" s="1"/>
  <c r="K60" i="6"/>
  <c r="K66" i="6" s="1"/>
  <c r="G60" i="6"/>
  <c r="G66" i="6" s="1"/>
  <c r="N46" i="6"/>
  <c r="L45" i="6"/>
  <c r="K45" i="6"/>
  <c r="J45" i="6"/>
  <c r="I45" i="6"/>
  <c r="N44" i="6"/>
  <c r="O46" i="6" s="1"/>
  <c r="O40" i="6"/>
  <c r="N40" i="6"/>
  <c r="M40" i="6"/>
  <c r="L40" i="6"/>
  <c r="K40" i="6"/>
  <c r="J40" i="6"/>
  <c r="I40" i="6"/>
  <c r="H40" i="6"/>
  <c r="G40" i="6"/>
  <c r="E40" i="6"/>
  <c r="G33" i="6"/>
  <c r="H34" i="6" s="1"/>
  <c r="E33" i="6"/>
  <c r="F34" i="6" s="1"/>
  <c r="K24" i="6"/>
  <c r="K25" i="6" s="1"/>
  <c r="G24" i="6"/>
  <c r="G25" i="6" s="1"/>
  <c r="M23" i="6"/>
  <c r="L23" i="6"/>
  <c r="K23" i="6"/>
  <c r="J23" i="6"/>
  <c r="I23" i="6"/>
  <c r="H23" i="6"/>
  <c r="G23" i="6"/>
  <c r="F23" i="6"/>
  <c r="E23" i="6"/>
  <c r="N22" i="6"/>
  <c r="N65" i="6" s="1"/>
  <c r="M22" i="6"/>
  <c r="M65" i="6" s="1"/>
  <c r="L22" i="6"/>
  <c r="L65" i="6" s="1"/>
  <c r="K22" i="6"/>
  <c r="J22" i="6"/>
  <c r="J65" i="6" s="1"/>
  <c r="I22" i="6"/>
  <c r="I65" i="6" s="1"/>
  <c r="H22" i="6"/>
  <c r="H65" i="6" s="1"/>
  <c r="G22" i="6"/>
  <c r="F22" i="6"/>
  <c r="F65" i="6" s="1"/>
  <c r="E22" i="6"/>
  <c r="E65" i="6" s="1"/>
  <c r="Q21" i="6"/>
  <c r="O21" i="6"/>
  <c r="N20" i="6"/>
  <c r="N64" i="6" s="1"/>
  <c r="M20" i="6"/>
  <c r="M64" i="6" s="1"/>
  <c r="L20" i="6"/>
  <c r="L64" i="6" s="1"/>
  <c r="K20" i="6"/>
  <c r="J20" i="6"/>
  <c r="J64" i="6" s="1"/>
  <c r="I20" i="6"/>
  <c r="I64" i="6" s="1"/>
  <c r="H20" i="6"/>
  <c r="H64" i="6" s="1"/>
  <c r="G20" i="6"/>
  <c r="F20" i="6"/>
  <c r="F64" i="6" s="1"/>
  <c r="E20" i="6"/>
  <c r="E64" i="6" s="1"/>
  <c r="Q19" i="6"/>
  <c r="O19" i="6"/>
  <c r="Q17" i="6"/>
  <c r="O17" i="6"/>
  <c r="N16" i="6"/>
  <c r="M16" i="6"/>
  <c r="M62" i="6" s="1"/>
  <c r="L16" i="6"/>
  <c r="K16" i="6"/>
  <c r="K62" i="6" s="1"/>
  <c r="J16" i="6"/>
  <c r="I16" i="6"/>
  <c r="I62" i="6" s="1"/>
  <c r="H16" i="6"/>
  <c r="G16" i="6"/>
  <c r="G62" i="6" s="1"/>
  <c r="F16" i="6"/>
  <c r="E16" i="6"/>
  <c r="E62" i="6" s="1"/>
  <c r="Q15" i="6"/>
  <c r="O15" i="6"/>
  <c r="N14" i="6"/>
  <c r="N61" i="6" s="1"/>
  <c r="M14" i="6"/>
  <c r="M61" i="6" s="1"/>
  <c r="L14" i="6"/>
  <c r="L61" i="6" s="1"/>
  <c r="K14" i="6"/>
  <c r="J14" i="6"/>
  <c r="J61" i="6" s="1"/>
  <c r="I14" i="6"/>
  <c r="I61" i="6" s="1"/>
  <c r="H14" i="6"/>
  <c r="H61" i="6" s="1"/>
  <c r="G14" i="6"/>
  <c r="F14" i="6"/>
  <c r="F61" i="6" s="1"/>
  <c r="E14" i="6"/>
  <c r="Q13" i="6"/>
  <c r="O13" i="6"/>
  <c r="N12" i="6"/>
  <c r="N60" i="6" s="1"/>
  <c r="N66" i="6" s="1"/>
  <c r="M12" i="6"/>
  <c r="M60" i="6" s="1"/>
  <c r="M66" i="6" s="1"/>
  <c r="L12" i="6"/>
  <c r="L60" i="6" s="1"/>
  <c r="L66" i="6" s="1"/>
  <c r="K12" i="6"/>
  <c r="J12" i="6"/>
  <c r="J60" i="6" s="1"/>
  <c r="J66" i="6" s="1"/>
  <c r="I12" i="6"/>
  <c r="I60" i="6" s="1"/>
  <c r="I66" i="6" s="1"/>
  <c r="H12" i="6"/>
  <c r="H60" i="6" s="1"/>
  <c r="H66" i="6" s="1"/>
  <c r="G12" i="6"/>
  <c r="F12" i="6"/>
  <c r="F60" i="6" s="1"/>
  <c r="F66" i="6" s="1"/>
  <c r="E12" i="6"/>
  <c r="E60" i="6" s="1"/>
  <c r="Q11" i="6"/>
  <c r="O11" i="6"/>
  <c r="Y41" i="7" l="1"/>
  <c r="Y45" i="7" s="1"/>
  <c r="E38" i="7"/>
  <c r="X50" i="7" s="1"/>
  <c r="X41" i="7"/>
  <c r="X45" i="7" s="1"/>
  <c r="X48" i="7"/>
  <c r="X49" i="7" s="1"/>
  <c r="Y72" i="7"/>
  <c r="Z73" i="7"/>
  <c r="AB73" i="7" s="1"/>
  <c r="AD73" i="7" s="1"/>
  <c r="J87" i="7" s="1"/>
  <c r="D102" i="7" s="1"/>
  <c r="Y74" i="7"/>
  <c r="Y75" i="7"/>
  <c r="Z76" i="7"/>
  <c r="AB76" i="7" s="1"/>
  <c r="AD76" i="7" s="1"/>
  <c r="J90" i="7" s="1"/>
  <c r="Y77" i="7"/>
  <c r="Z72" i="7"/>
  <c r="AB72" i="7" s="1"/>
  <c r="AD72" i="7" s="1"/>
  <c r="J86" i="7" s="1"/>
  <c r="P60" i="6"/>
  <c r="R60" i="6" s="1"/>
  <c r="T60" i="6" s="1"/>
  <c r="J75" i="6" s="1"/>
  <c r="E66" i="6"/>
  <c r="O60" i="6"/>
  <c r="P61" i="6"/>
  <c r="R61" i="6" s="1"/>
  <c r="T61" i="6" s="1"/>
  <c r="J76" i="6" s="1"/>
  <c r="D91" i="6" s="1"/>
  <c r="O61" i="6"/>
  <c r="P64" i="6"/>
  <c r="R64" i="6" s="1"/>
  <c r="T64" i="6" s="1"/>
  <c r="J79" i="6" s="1"/>
  <c r="O64" i="6"/>
  <c r="P65" i="6"/>
  <c r="R65" i="6" s="1"/>
  <c r="T65" i="6" s="1"/>
  <c r="J80" i="6" s="1"/>
  <c r="D88" i="6" s="1"/>
  <c r="O65" i="6"/>
  <c r="C94" i="6"/>
  <c r="O62" i="6"/>
  <c r="E24" i="6"/>
  <c r="I24" i="6"/>
  <c r="I25" i="6" s="1"/>
  <c r="M24" i="6"/>
  <c r="M25" i="6" s="1"/>
  <c r="P62" i="6"/>
  <c r="R62" i="6" s="1"/>
  <c r="T62" i="6" s="1"/>
  <c r="J77" i="6" s="1"/>
  <c r="D90" i="6" s="1"/>
  <c r="O63" i="6"/>
  <c r="F24" i="6"/>
  <c r="F25" i="6" s="1"/>
  <c r="H24" i="6"/>
  <c r="H25" i="6" s="1"/>
  <c r="J24" i="6"/>
  <c r="J25" i="6" s="1"/>
  <c r="L24" i="6"/>
  <c r="L25" i="6" s="1"/>
  <c r="N25" i="6"/>
  <c r="X53" i="7" l="1"/>
  <c r="D98" i="7"/>
  <c r="J95" i="7"/>
  <c r="U30" i="6"/>
  <c r="U31" i="6" s="1"/>
  <c r="E25" i="6"/>
  <c r="U32" i="6" s="1"/>
  <c r="S27" i="6"/>
  <c r="D87" i="6"/>
  <c r="J84" i="6"/>
  <c r="D106" i="7" l="1"/>
  <c r="D105" i="7"/>
  <c r="D95" i="6"/>
  <c r="D94" i="6"/>
  <c r="U34" i="6"/>
  <c r="E104" i="7" l="1"/>
  <c r="E103" i="7"/>
  <c r="E100" i="7"/>
  <c r="E101" i="7"/>
  <c r="E99" i="7"/>
  <c r="E102" i="7"/>
  <c r="E98" i="7"/>
  <c r="D107" i="7"/>
  <c r="E93" i="6"/>
  <c r="E92" i="6"/>
  <c r="E89" i="6"/>
  <c r="E90" i="6"/>
  <c r="E91" i="6"/>
  <c r="E88" i="6"/>
  <c r="E87" i="6"/>
  <c r="D96" i="6"/>
  <c r="E105" i="7" l="1"/>
  <c r="E94" i="6"/>
  <c r="I64" i="5" l="1"/>
  <c r="C73" i="5" s="1"/>
  <c r="H64" i="5"/>
  <c r="C72" i="5" s="1"/>
  <c r="G64" i="5"/>
  <c r="C71" i="5" s="1"/>
  <c r="F64" i="5"/>
  <c r="C70" i="5" s="1"/>
  <c r="E64" i="5"/>
  <c r="D64" i="5"/>
  <c r="C68" i="5" s="1"/>
  <c r="C64" i="5"/>
  <c r="C67" i="5" s="1"/>
  <c r="AG31" i="5"/>
  <c r="AG33" i="5" s="1"/>
  <c r="AF31" i="5"/>
  <c r="AF33" i="5" s="1"/>
  <c r="AE31" i="5"/>
  <c r="AE33" i="5" s="1"/>
  <c r="AD31" i="5"/>
  <c r="AD33" i="5" s="1"/>
  <c r="AC31" i="5"/>
  <c r="AC33" i="5" s="1"/>
  <c r="AB31" i="5"/>
  <c r="AB33" i="5" s="1"/>
  <c r="AA31" i="5"/>
  <c r="AA33" i="5" s="1"/>
  <c r="Z31" i="5"/>
  <c r="Z33" i="5" s="1"/>
  <c r="Y31" i="5"/>
  <c r="Y33" i="5" s="1"/>
  <c r="X31" i="5"/>
  <c r="X33" i="5" s="1"/>
  <c r="W31" i="5"/>
  <c r="W33" i="5" s="1"/>
  <c r="V31" i="5"/>
  <c r="V33" i="5" s="1"/>
  <c r="U31" i="5"/>
  <c r="U33" i="5" s="1"/>
  <c r="T31" i="5"/>
  <c r="T33" i="5" s="1"/>
  <c r="S31" i="5"/>
  <c r="S33" i="5" s="1"/>
  <c r="R31" i="5"/>
  <c r="R33" i="5" s="1"/>
  <c r="Q31" i="5"/>
  <c r="Q33" i="5" s="1"/>
  <c r="P31" i="5"/>
  <c r="P33" i="5" s="1"/>
  <c r="O31" i="5"/>
  <c r="O33" i="5" s="1"/>
  <c r="N31" i="5"/>
  <c r="N33" i="5" s="1"/>
  <c r="M31" i="5"/>
  <c r="M33" i="5" s="1"/>
  <c r="L31" i="5"/>
  <c r="L33" i="5" s="1"/>
  <c r="J31" i="5"/>
  <c r="J33" i="5" s="1"/>
  <c r="I31" i="5"/>
  <c r="I33" i="5" s="1"/>
  <c r="H31" i="5"/>
  <c r="H33" i="5" s="1"/>
  <c r="G31" i="5"/>
  <c r="G33" i="5" s="1"/>
  <c r="F31" i="5"/>
  <c r="F33" i="5" s="1"/>
  <c r="E31" i="5"/>
  <c r="E33" i="5" s="1"/>
  <c r="D31" i="5"/>
  <c r="D33" i="5" s="1"/>
  <c r="C31" i="5"/>
  <c r="AI30" i="5"/>
  <c r="J63" i="5" s="1"/>
  <c r="AH30" i="5"/>
  <c r="AI29" i="5"/>
  <c r="J62" i="5" s="1"/>
  <c r="AH29" i="5"/>
  <c r="AI28" i="5"/>
  <c r="J61" i="5" s="1"/>
  <c r="D70" i="5" s="1"/>
  <c r="AH28" i="5"/>
  <c r="K27" i="5"/>
  <c r="K31" i="5" s="1"/>
  <c r="K33" i="5" s="1"/>
  <c r="AI26" i="5"/>
  <c r="J59" i="5" s="1"/>
  <c r="AH26" i="5"/>
  <c r="AI25" i="5"/>
  <c r="J58" i="5" s="1"/>
  <c r="AH25" i="5"/>
  <c r="AI24" i="5"/>
  <c r="J57" i="5" s="1"/>
  <c r="AH24" i="5"/>
  <c r="AI23" i="5"/>
  <c r="J56" i="5" s="1"/>
  <c r="D72" i="5" s="1"/>
  <c r="AH23" i="5"/>
  <c r="AI22" i="5"/>
  <c r="J55" i="5" s="1"/>
  <c r="AH22" i="5"/>
  <c r="O35" i="5" l="1"/>
  <c r="O37" i="5" s="1"/>
  <c r="C33" i="5"/>
  <c r="C74" i="5"/>
  <c r="O39" i="5"/>
  <c r="D68" i="5"/>
  <c r="D67" i="5"/>
  <c r="AI27" i="5"/>
  <c r="J60" i="5" s="1"/>
  <c r="D69" i="5" s="1"/>
  <c r="I36" i="5"/>
  <c r="I38" i="5"/>
  <c r="AH27" i="5"/>
  <c r="J64" i="5" l="1"/>
  <c r="O44" i="5"/>
  <c r="D75" i="5"/>
  <c r="D74" i="5"/>
  <c r="I44" i="5"/>
  <c r="E69" i="5"/>
  <c r="E74" i="5" l="1"/>
  <c r="E71" i="5"/>
  <c r="E73" i="5"/>
  <c r="E72" i="5"/>
  <c r="E70" i="5"/>
  <c r="E67" i="5"/>
  <c r="E68" i="5"/>
  <c r="D76" i="5"/>
  <c r="E75" i="4" l="1"/>
  <c r="G74" i="4" s="1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37" i="4" s="1"/>
  <c r="G50" i="4" l="1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5" i="4" l="1"/>
  <c r="F50" i="4"/>
  <c r="F51" i="4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</calcChain>
</file>

<file path=xl/sharedStrings.xml><?xml version="1.0" encoding="utf-8"?>
<sst xmlns="http://schemas.openxmlformats.org/spreadsheetml/2006/main" count="745" uniqueCount="377">
  <si>
    <t>OBJETIVO</t>
  </si>
  <si>
    <t>INDICADOR</t>
  </si>
  <si>
    <t>FRECUENCIA</t>
  </si>
  <si>
    <t>PROCESO</t>
  </si>
  <si>
    <t>FUENTE DE INFORMACIÓN</t>
  </si>
  <si>
    <t>%</t>
  </si>
  <si>
    <t>Mensual</t>
  </si>
  <si>
    <t>CALIDAD</t>
  </si>
  <si>
    <t>COMPRAS</t>
  </si>
  <si>
    <t>Anual</t>
  </si>
  <si>
    <t>Bodeguero de materia prima</t>
  </si>
  <si>
    <t>Jefe de Producción</t>
  </si>
  <si>
    <t>ADMINISTRACIÓN GERENCIAL</t>
  </si>
  <si>
    <t>META</t>
  </si>
  <si>
    <t>Controlar los objetivos planteados para el 2015</t>
  </si>
  <si>
    <t>Gerente general</t>
  </si>
  <si>
    <t>Cumplir el presupuesto de ventas 2015 con el incremento del 7% al del 2014</t>
  </si>
  <si>
    <t>Supervisor de Ventas</t>
  </si>
  <si>
    <t>Cumplir con el presupuesto por vendedor al 100% según planificación</t>
  </si>
  <si>
    <t>Impulsar los productos tradicionales fabricados a partir de PVC</t>
  </si>
  <si>
    <t>Cumplir con la producción según requerimientos de Ventas</t>
  </si>
  <si>
    <t>Cumplir con el índice de eficacia del sistema de gestión de calidad y salud en el trabajo</t>
  </si>
  <si>
    <t>Jefe de Seguridad Industrial</t>
  </si>
  <si>
    <t xml:space="preserve">Capacitación al personal </t>
  </si>
  <si>
    <t xml:space="preserve">Jefe de Talento Humano </t>
  </si>
  <si>
    <t xml:space="preserve">Cumplir con el cronograma de mantenimiento preventivo anual   </t>
  </si>
  <si>
    <t>Jefe de Mantenimiento</t>
  </si>
  <si>
    <t>Jefe de Compras</t>
  </si>
  <si>
    <t>Calificación de proveedores</t>
  </si>
  <si>
    <t>Disponer de stocks reales de producto terminado semanal</t>
  </si>
  <si>
    <t xml:space="preserve">Bodeguero de producto terminado </t>
  </si>
  <si>
    <t>Despachar los productos terminados según planificación realizada</t>
  </si>
  <si>
    <t>Bodeguero de producto terminado</t>
  </si>
  <si>
    <t>Disponer de stocks reales de materia prima e insumos semanal</t>
  </si>
  <si>
    <t>FÓRMULA</t>
  </si>
  <si>
    <t>Número de objetivos cumplidos *100/Total de objetivos propuestos</t>
  </si>
  <si>
    <t>Índice de crecimiento de ventas con respecto al año pasado</t>
  </si>
  <si>
    <t>Nivel de exactitud de inventario de producto terminado</t>
  </si>
  <si>
    <t>Nivel de productos despachados según planificación</t>
  </si>
  <si>
    <t>Número de productos entregados al cliente según planificación*100/Total de productos entregados al cliente</t>
  </si>
  <si>
    <t xml:space="preserve">Número de elementos auditados integrados*100 / Número total de elementos aplicables  </t>
  </si>
  <si>
    <t>Total de horas de capacitación/Total de trabajadores</t>
  </si>
  <si>
    <t>Cumplimiento del cronograma de mantenimiento preventivo anual</t>
  </si>
  <si>
    <t xml:space="preserve">Tasa de órdenes de compra generadas sin errores </t>
  </si>
  <si>
    <t>Número de órdenes de compra generadas correctamente *100/ Total de órdenes de compra</t>
  </si>
  <si>
    <t>Porcentaje de proveedores certificados</t>
  </si>
  <si>
    <t>Número de proveedores certificados *100 /Total de proveedores de la empresa</t>
  </si>
  <si>
    <t>Nivel de exactitud de inventario de materiales</t>
  </si>
  <si>
    <t>Horas de capacitación por trabajador</t>
  </si>
  <si>
    <t>Semanal</t>
  </si>
  <si>
    <t>Estado de resultados</t>
  </si>
  <si>
    <t>Plan de producción semanal</t>
  </si>
  <si>
    <t>Reglamento de Seguro General de Riesgos de Trabajo</t>
  </si>
  <si>
    <t>Programa de mantenimiento preventivo</t>
  </si>
  <si>
    <t>Realizar el procedimiento de compras e importaciones previo adquisiciones</t>
  </si>
  <si>
    <t>Certificaciones de los proveedores</t>
  </si>
  <si>
    <t>Hoja de despachos de Logística</t>
  </si>
  <si>
    <t>Departamento de Talento Humano</t>
  </si>
  <si>
    <t xml:space="preserve">RESPONSABLE DE ELABORACIÓN Y REVISIÓN </t>
  </si>
  <si>
    <t>Porcentaje de cumplimiento del plan estratégico</t>
  </si>
  <si>
    <t>Porcentaje de cumplimiento del plan de producción semanal</t>
  </si>
  <si>
    <t>UNIDAD DE MEDIDAD</t>
  </si>
  <si>
    <t>Inventario fisico, e inventario del sistema de Bodega de Producto Terminado</t>
  </si>
  <si>
    <t>Inventario fisico, e inventario del sistema de Bodega de Materia Prima</t>
  </si>
  <si>
    <t xml:space="preserve">Plan estratégico </t>
  </si>
  <si>
    <t>((Ventas año actual-ventas año pasado)/Ventas año pasado)*100</t>
  </si>
  <si>
    <t>FORMA DE REPRESENTACIÓN</t>
  </si>
  <si>
    <t>Gráfico de barras</t>
  </si>
  <si>
    <t>Ordenes de compra</t>
  </si>
  <si>
    <t>1- ((Diferencias en unidades entre el inventario físico y el teórico )/ Total teórico en unidades de las referencias inventariadas)</t>
  </si>
  <si>
    <t>horas/hombre</t>
  </si>
  <si>
    <t xml:space="preserve"> SISTEMA DE INDICADORES </t>
  </si>
  <si>
    <t>COMERCIALIZACIÓN</t>
  </si>
  <si>
    <t>PRODUCCIÓN Y ALMACENAMIENTO DE PRODUCTO TERMINADO</t>
  </si>
  <si>
    <t>SEGURIDAD Y SALUD OCUPACIONAL</t>
  </si>
  <si>
    <t>TALENTO HUMANO</t>
  </si>
  <si>
    <t>COMPRAS E IMPORTACIONES</t>
  </si>
  <si>
    <t>LOGÍSTICA DE BODEGA DE MATERIALES</t>
  </si>
  <si>
    <t>MANTENIMIENTO</t>
  </si>
  <si>
    <t>Número de metros lineales fabricados *100/Total de metros lineales programados por Ventas</t>
  </si>
  <si>
    <t>Ordenes de trabajo de mantenimiento preventivo ejecutadas*100/Ordenes de trabajo de mantenimiento preventivo programadas</t>
  </si>
  <si>
    <t>Índice de eficacia del sistema de gestión de seguridad y salud en el trabajo</t>
  </si>
  <si>
    <t>MATRIZ DE PRIORIZACIÓN</t>
  </si>
  <si>
    <t>OBJETIVOS</t>
  </si>
  <si>
    <t>TOTAL</t>
  </si>
  <si>
    <t>PROCESOS</t>
  </si>
  <si>
    <t>ÁREAS</t>
  </si>
  <si>
    <t>GERENCIA</t>
  </si>
  <si>
    <t>PROD.</t>
  </si>
  <si>
    <t>S.S.O.</t>
  </si>
  <si>
    <t>T.H.</t>
  </si>
  <si>
    <t>MANT.</t>
  </si>
  <si>
    <t>BODEGA PROD. TERM.</t>
  </si>
  <si>
    <t>BODEGA DE MAT.</t>
  </si>
  <si>
    <t xml:space="preserve">SUBPROCESOS </t>
  </si>
  <si>
    <t>Controlar los objetivos planteados para el 2015 (Meta: 100%)</t>
  </si>
  <si>
    <t>Cumplir el presupuesto de ventas del 2015 con el incremento del 7% al 2014 (Meta: 7%)</t>
  </si>
  <si>
    <t>Cumplir con el presupuesto por vendedor al 100% según planificación (Meta: 100%)</t>
  </si>
  <si>
    <t>Impulsar los productos tradicionales fabricados a partir de PVC (Meta: 7%)</t>
  </si>
  <si>
    <t>Cumplir la producción según requerimiento de Ventas (Meta: 100%)</t>
  </si>
  <si>
    <t>Cumplir con el índice de eficacia del sistema de gestión de seguridad y salud en el trabajo (Meta:80%)</t>
  </si>
  <si>
    <t>Capacitación al personal (Meta: 16horas/hombre)</t>
  </si>
  <si>
    <t>Cumplir con el cronograma de mantenimiento preventivo anual (Meta: 100%)</t>
  </si>
  <si>
    <t>Realizar el procedimiento de compras e importaciones previo a las adquisiciones (Meta: aplicación)</t>
  </si>
  <si>
    <t>Calificación de proveedores (Meta: 100%)</t>
  </si>
  <si>
    <t>Disponer de los stocks reales de producto terminado semanal(Meta: 100%)</t>
  </si>
  <si>
    <t>Despachar los productos terminados según planificación realizada (Meta: 100%)</t>
  </si>
  <si>
    <t>Disponer de los stocks reales de materia prima e insumos semanal(Meta: 100%)</t>
  </si>
  <si>
    <t>Gestión de Ventas</t>
  </si>
  <si>
    <t>Gestión de Costos</t>
  </si>
  <si>
    <t>Gestión de Estados Financieros</t>
  </si>
  <si>
    <t>LOGÍSTICA DE  BODEGA DE MATERIALES</t>
  </si>
  <si>
    <t>_ _ _</t>
  </si>
  <si>
    <t>Desarrollo Técnico  y Mezclas de Línea Recubridora</t>
  </si>
  <si>
    <t>Desarrollo Técnico  y Mezclas de Línea Bema</t>
  </si>
  <si>
    <t xml:space="preserve">Línea Recubridora </t>
  </si>
  <si>
    <t xml:space="preserve">Línea Bema </t>
  </si>
  <si>
    <t>Ventas y Logística de Transporte</t>
  </si>
  <si>
    <t>Gestión de Cobros</t>
  </si>
  <si>
    <t>SERVICIO AL CLIENTE</t>
  </si>
  <si>
    <t>Compras</t>
  </si>
  <si>
    <t>Importaciones</t>
  </si>
  <si>
    <t>Exportaciones</t>
  </si>
  <si>
    <t>Contratación</t>
  </si>
  <si>
    <t>Nóminas</t>
  </si>
  <si>
    <t>Mantenimiento Correctivo</t>
  </si>
  <si>
    <t>Mantenimiento Preventivo</t>
  </si>
  <si>
    <t>Prevención en SSO</t>
  </si>
  <si>
    <t>Atención en Accidentes de Trabajo</t>
  </si>
  <si>
    <t>CONTABILIDAD</t>
  </si>
  <si>
    <t>Pago a proveedores</t>
  </si>
  <si>
    <t>Elaboración de Anexos y Declaraciones</t>
  </si>
  <si>
    <t>Declaración de IR  en Relación de Dependencia</t>
  </si>
  <si>
    <t>Elaboración de Estados Financieros</t>
  </si>
  <si>
    <t>ESCALA DE CALIFICACIÓN</t>
  </si>
  <si>
    <r>
      <rPr>
        <b/>
        <sz val="12"/>
        <color theme="1"/>
        <rFont val="Calibri"/>
        <family val="2"/>
        <scheme val="minor"/>
      </rPr>
      <t>9:</t>
    </r>
    <r>
      <rPr>
        <sz val="12"/>
        <color theme="1"/>
        <rFont val="Calibri"/>
        <family val="2"/>
        <scheme val="minor"/>
      </rPr>
      <t xml:space="preserve"> Imprescindible/contribuye en  muy alto grado al objetivo
</t>
    </r>
    <r>
      <rPr>
        <b/>
        <sz val="12"/>
        <color theme="1"/>
        <rFont val="Calibri"/>
        <family val="2"/>
        <scheme val="minor"/>
      </rPr>
      <t>6:</t>
    </r>
    <r>
      <rPr>
        <sz val="12"/>
        <color theme="1"/>
        <rFont val="Calibri"/>
        <family val="2"/>
        <scheme val="minor"/>
      </rPr>
      <t xml:space="preserve"> Importante/contribuye en  alto grado.
</t>
    </r>
    <r>
      <rPr>
        <b/>
        <sz val="12"/>
        <color theme="1"/>
        <rFont val="Calibri"/>
        <family val="2"/>
        <scheme val="minor"/>
      </rPr>
      <t>3:</t>
    </r>
    <r>
      <rPr>
        <sz val="12"/>
        <color theme="1"/>
        <rFont val="Calibri"/>
        <family val="2"/>
        <scheme val="minor"/>
      </rPr>
      <t xml:space="preserve"> Afecta/contribuye poco.
</t>
    </r>
    <r>
      <rPr>
        <b/>
        <sz val="12"/>
        <color theme="1"/>
        <rFont val="Calibri"/>
        <family val="2"/>
        <scheme val="minor"/>
      </rPr>
      <t>1:</t>
    </r>
    <r>
      <rPr>
        <sz val="12"/>
        <color theme="1"/>
        <rFont val="Calibri"/>
        <family val="2"/>
        <scheme val="minor"/>
      </rPr>
      <t xml:space="preserve"> No contribuye/no relacionado.
</t>
    </r>
  </si>
  <si>
    <t>SUBPROCESO</t>
  </si>
  <si>
    <t>PUNTAJE</t>
  </si>
  <si>
    <t>% ACUMULADO</t>
  </si>
  <si>
    <t>Línea Recubridora</t>
  </si>
  <si>
    <t>Línea Bema</t>
  </si>
  <si>
    <t>Calidad</t>
  </si>
  <si>
    <t>Logística de Bodega de Materiales</t>
  </si>
  <si>
    <t>Servicio al Cliente</t>
  </si>
  <si>
    <t>Desarrollo Técnico y Mezclas de Línea Recubridora</t>
  </si>
  <si>
    <t>Desarrollo Técnico y Mezclas de Línea Bema</t>
  </si>
  <si>
    <t>Prevención en S.S.O</t>
  </si>
  <si>
    <t>Pago a Proveedores</t>
  </si>
  <si>
    <t>Declaración de IR en Relación de Dependencia</t>
  </si>
  <si>
    <t>TOTALES</t>
  </si>
  <si>
    <t>PROCESO:</t>
  </si>
  <si>
    <t>SUBPROCESO:</t>
  </si>
  <si>
    <t>VENTAS Y LOGISTICA DE TRANSPORTE</t>
  </si>
  <si>
    <t>DESTINO:</t>
  </si>
  <si>
    <t>QUITO</t>
  </si>
  <si>
    <t>RIOBAMBA</t>
  </si>
  <si>
    <t>AMBATO</t>
  </si>
  <si>
    <t>LOJA</t>
  </si>
  <si>
    <t>CUENCA</t>
  </si>
  <si>
    <t>DAULE</t>
  </si>
  <si>
    <t>PEDIDO:</t>
  </si>
  <si>
    <t>PRODUCTO:</t>
  </si>
  <si>
    <t>EXPANDIBLE NEGRO</t>
  </si>
  <si>
    <t>EXPANDIBLE CAFÉ</t>
  </si>
  <si>
    <t>EXPANDIBLE HABANO</t>
  </si>
  <si>
    <t>MOQUETA AZUL</t>
  </si>
  <si>
    <t>CUERINA PLUMÓN  NEGRA</t>
  </si>
  <si>
    <t>ESPUMA NEGRA</t>
  </si>
  <si>
    <t>CARPA PESADA NEGRA</t>
  </si>
  <si>
    <t>STRETCH FILM</t>
  </si>
  <si>
    <t>LAMINA NEGRA</t>
  </si>
  <si>
    <t>CARPA PESADA AZUL REY</t>
  </si>
  <si>
    <t>CARPA PESADA AZUL MARINO</t>
  </si>
  <si>
    <t>VINILONA ROJA</t>
  </si>
  <si>
    <t>CUERINA INDUSTRIAL NEGRA</t>
  </si>
  <si>
    <t>CUERINA PLUMÓN  CAFÉ</t>
  </si>
  <si>
    <t>CUERINA PLUMÓN  VINO</t>
  </si>
  <si>
    <t>CUERINA PLUMÓN NEGRO</t>
  </si>
  <si>
    <t>CARPA INTERMEDIA BLANCA</t>
  </si>
  <si>
    <t xml:space="preserve">FECHA ESTUDIO: </t>
  </si>
  <si>
    <t>CLIENTE:</t>
  </si>
  <si>
    <t>FABRICIO CABEZAS</t>
  </si>
  <si>
    <t>COMERCIAL HUACHO</t>
  </si>
  <si>
    <t>COMERCIAL SALAZAR</t>
  </si>
  <si>
    <t>JUAN CARLOS JIMENEZ</t>
  </si>
  <si>
    <t>TEIMSA</t>
  </si>
  <si>
    <t>VICTOR CONCHA</t>
  </si>
  <si>
    <t>PASTICAUCHOINDUSTRIAL</t>
  </si>
  <si>
    <t>JORGE ROSERO</t>
  </si>
  <si>
    <t>GABRIELA BARRERA</t>
  </si>
  <si>
    <t>COMERCIAL JARRIN</t>
  </si>
  <si>
    <t>HORMIPISOS</t>
  </si>
  <si>
    <t>DAVID PESANTEZ</t>
  </si>
  <si>
    <t>ESPERANZA ARMIJOS</t>
  </si>
  <si>
    <t>PABLO GRIJALVA</t>
  </si>
  <si>
    <t>ANGEL POLIBIO SAAVEDRA</t>
  </si>
  <si>
    <t>CARPINTERIA Y TAPICERIA</t>
  </si>
  <si>
    <t>TAPITEX</t>
  </si>
  <si>
    <t>CATALINA CALDERON</t>
  </si>
  <si>
    <t>EL PAISA</t>
  </si>
  <si>
    <t>FABIAN CABEZAS</t>
  </si>
  <si>
    <t>MULTICOVER</t>
  </si>
  <si>
    <t>No.</t>
  </si>
  <si>
    <t>ACTIVIDAD</t>
  </si>
  <si>
    <t>TIEMPO OBSERVADO</t>
  </si>
  <si>
    <t xml:space="preserve">TO TOTAL </t>
  </si>
  <si>
    <t>Cartera recepta documentos, califica el pedido y lo entrega  a Facturación o Vendedor.</t>
  </si>
  <si>
    <t>Facturación o Vendedor hace aprobar el pedido a Gerencia General o Supervisor de Ventas.</t>
  </si>
  <si>
    <t>Facturación recibe el pedido calificado, lo ingresa al sistema y lo envía a Bodega de Producto Terminado.</t>
  </si>
  <si>
    <t>Bodega de Producto Terminado recibe el pedido del sistema y revisa si hay stock.</t>
  </si>
  <si>
    <t xml:space="preserve">Ventas envía orden a Producción, se fabrica y almacena en la Bodega de Producto Terminado. </t>
  </si>
  <si>
    <t>Logística recibe requerimiento de Bodega de Producto Terminado y coordinar con empresa de transporte</t>
  </si>
  <si>
    <t>Esperar disponibilidad del transporte</t>
  </si>
  <si>
    <t>Bodega de Producto Terminado embarca mercadería requerida en camión y archiva copias de los  registros</t>
  </si>
  <si>
    <t>Trasladar y entregar mercadería en bodegas del cliente.</t>
  </si>
  <si>
    <t>GEOMEMBRANA PERMAX NEGRA</t>
  </si>
  <si>
    <t>CUERINA FORMULA GRIS</t>
  </si>
  <si>
    <t>CUERINA PLUMÓN  AZUL MARINO</t>
  </si>
  <si>
    <t>TIEMPO OBSERVADO (min)</t>
  </si>
  <si>
    <t xml:space="preserve">TIEMPO OBSERVADO  TOTAL     </t>
  </si>
  <si>
    <t xml:space="preserve">PROMEDIO TIEMPO OBSERVADO </t>
  </si>
  <si>
    <t>∑x</t>
  </si>
  <si>
    <t>PROMEDIO</t>
  </si>
  <si>
    <t>∑(x)^2</t>
  </si>
  <si>
    <t>DESVIACION ESTANDAR</t>
  </si>
  <si>
    <t>∑x^2</t>
  </si>
  <si>
    <t>k</t>
  </si>
  <si>
    <t>z</t>
  </si>
  <si>
    <t>n</t>
  </si>
  <si>
    <t>ANÁLISIS DE VALOR AGREGADO</t>
  </si>
  <si>
    <t xml:space="preserve">PROCESO: COMERCIALIZACION </t>
  </si>
  <si>
    <t>SUBPROCESO: VENTAS Y LOGISTICA DE TRANSPORTE</t>
  </si>
  <si>
    <t>VA</t>
  </si>
  <si>
    <t>SVA</t>
  </si>
  <si>
    <t>TIEMPO (min)</t>
  </si>
  <si>
    <t>VAC</t>
  </si>
  <si>
    <t xml:space="preserve">VAE </t>
  </si>
  <si>
    <t>P</t>
  </si>
  <si>
    <t>E</t>
  </si>
  <si>
    <t>M</t>
  </si>
  <si>
    <t>I</t>
  </si>
  <si>
    <t>A</t>
  </si>
  <si>
    <t>Cartera recepta documentos, califica el pedido y lo entrega  a Facturación o al vendedor.</t>
  </si>
  <si>
    <t>Facturación o el vendedor hace aprobar el pedido a Gerencia General o Supervisión de Ventas.</t>
  </si>
  <si>
    <t>Logística recibe requerimiento de Bodega de Producto Terminado y coordinar con empresa de transporte.</t>
  </si>
  <si>
    <t>Esperar disponibilidad del transporte.</t>
  </si>
  <si>
    <t>Bodega de Producto Terminado embarca mercadería requerida en camión y archiva copias de los  registros.</t>
  </si>
  <si>
    <t>COMPOSICIÓN DE ACTIVIDADES</t>
  </si>
  <si>
    <t>VALOR AGREGADO CLIENTE</t>
  </si>
  <si>
    <t>VAE</t>
  </si>
  <si>
    <t>VALOR AGREGADO EMPRESA</t>
  </si>
  <si>
    <t>PREPARACIÓN</t>
  </si>
  <si>
    <t>ESPERA</t>
  </si>
  <si>
    <t>MOVIMIENTO</t>
  </si>
  <si>
    <t>INSPECIÓN</t>
  </si>
  <si>
    <t>ARCHIVO</t>
  </si>
  <si>
    <t>TT</t>
  </si>
  <si>
    <t>TVA</t>
  </si>
  <si>
    <t>IVA</t>
  </si>
  <si>
    <t>FECHA ESTUDIO: 07/05/2015-08/05/2015</t>
  </si>
  <si>
    <t>DEPARTAMENTO: PRODUCCIÓN</t>
  </si>
  <si>
    <t>MATERIAL: MEZCLA RECUBRIDORA SEGÚN DOSIFICACIÓN</t>
  </si>
  <si>
    <t>HORA COMIENZO:11:00 /8:00</t>
  </si>
  <si>
    <t>PROCESO: PRODUCCIÓN Y ALMACENAMIENTO DE PRODUCTO TERMINADO</t>
  </si>
  <si>
    <t>OPERARIO: 7 OPERARIOS VARIOS</t>
  </si>
  <si>
    <t>HORA FINALIZACIÓN :15:07/13:50</t>
  </si>
  <si>
    <t>SUBPROCESO: LINEA RECUBRIDORA</t>
  </si>
  <si>
    <t>MAQUINA: RECUBRIDORA E INSPECCIONADORA</t>
  </si>
  <si>
    <t>ELABORADO POR: JONATHAN ALVAREZ
                                     JUAN BERNAL</t>
  </si>
  <si>
    <t>MANUAL</t>
  </si>
  <si>
    <t>MÁQUINA</t>
  </si>
  <si>
    <t>PROM TO</t>
  </si>
  <si>
    <t xml:space="preserve">VALORACION </t>
  </si>
  <si>
    <t>TN</t>
  </si>
  <si>
    <t>HOLGURAS</t>
  </si>
  <si>
    <t>TE</t>
  </si>
  <si>
    <t>OBSERVACIONES</t>
  </si>
  <si>
    <t xml:space="preserve">Deposito de la pasta, ingreso de la tela, separación de papel y rebobinado </t>
  </si>
  <si>
    <t>x</t>
  </si>
  <si>
    <t>Transporte de rollo a posición de espera</t>
  </si>
  <si>
    <t>Espera temporal</t>
  </si>
  <si>
    <t>Transporte de rollo a Inspección de Calidad</t>
  </si>
  <si>
    <t>Inspección, embalaje y etiquetado</t>
  </si>
  <si>
    <t xml:space="preserve">Entregar el producto terminado a Bodega </t>
  </si>
  <si>
    <t>s</t>
  </si>
  <si>
    <t>desvesta</t>
  </si>
  <si>
    <t>t</t>
  </si>
  <si>
    <r>
      <t>∑</t>
    </r>
    <r>
      <rPr>
        <sz val="9.35"/>
        <color theme="1"/>
        <rFont val="Calibri"/>
        <family val="2"/>
      </rPr>
      <t>x</t>
    </r>
  </si>
  <si>
    <r>
      <t>∑(</t>
    </r>
    <r>
      <rPr>
        <sz val="9.35"/>
        <color theme="1"/>
        <rFont val="Calibri"/>
        <family val="2"/>
      </rPr>
      <t>x)^2</t>
    </r>
  </si>
  <si>
    <r>
      <t>∑</t>
    </r>
    <r>
      <rPr>
        <sz val="9.35"/>
        <color theme="1"/>
        <rFont val="Calibri"/>
        <family val="2"/>
      </rPr>
      <t>x^2</t>
    </r>
  </si>
  <si>
    <t>BODEGA</t>
  </si>
  <si>
    <r>
      <rPr>
        <b/>
        <sz val="11"/>
        <color theme="1"/>
        <rFont val="Calibri"/>
        <family val="2"/>
        <scheme val="minor"/>
      </rPr>
      <t xml:space="preserve">FECHA ESTUDIO:  </t>
    </r>
    <r>
      <rPr>
        <sz val="11"/>
        <color theme="1"/>
        <rFont val="Calibri"/>
        <family val="2"/>
        <scheme val="minor"/>
      </rPr>
      <t>07/05/2015-08/05/2015</t>
    </r>
  </si>
  <si>
    <r>
      <rPr>
        <b/>
        <sz val="11"/>
        <color theme="1"/>
        <rFont val="Calibri"/>
        <family val="2"/>
        <scheme val="minor"/>
      </rPr>
      <t>DEPARTAMENTO:</t>
    </r>
    <r>
      <rPr>
        <sz val="11"/>
        <color theme="1"/>
        <rFont val="Calibri"/>
        <family val="2"/>
        <scheme val="minor"/>
      </rPr>
      <t xml:space="preserve"> PRODUCCIÓN</t>
    </r>
  </si>
  <si>
    <r>
      <rPr>
        <b/>
        <sz val="11"/>
        <color theme="1"/>
        <rFont val="Calibri"/>
        <family val="2"/>
        <scheme val="minor"/>
      </rPr>
      <t>MATERIAL:</t>
    </r>
    <r>
      <rPr>
        <sz val="11"/>
        <color theme="1"/>
        <rFont val="Calibri"/>
        <family val="2"/>
        <scheme val="minor"/>
      </rPr>
      <t xml:space="preserve"> MEZCLA RECUBRIDORA SEGÚN DOSIFICACIÓN</t>
    </r>
  </si>
  <si>
    <t>SISTEMA WESTINGHOUSE</t>
  </si>
  <si>
    <r>
      <rPr>
        <b/>
        <sz val="11"/>
        <color theme="1"/>
        <rFont val="Calibri"/>
        <family val="2"/>
        <scheme val="minor"/>
      </rPr>
      <t xml:space="preserve">HORA COMIENZO:  </t>
    </r>
    <r>
      <rPr>
        <sz val="11"/>
        <color theme="1"/>
        <rFont val="Calibri"/>
        <family val="2"/>
        <scheme val="minor"/>
      </rPr>
      <t>11:00 /8:00</t>
    </r>
  </si>
  <si>
    <r>
      <rPr>
        <b/>
        <sz val="11"/>
        <color theme="1"/>
        <rFont val="Calibri"/>
        <family val="2"/>
        <scheme val="minor"/>
      </rPr>
      <t>PROCESO:</t>
    </r>
    <r>
      <rPr>
        <sz val="11"/>
        <color theme="1"/>
        <rFont val="Calibri"/>
        <family val="2"/>
        <scheme val="minor"/>
      </rPr>
      <t xml:space="preserve"> PRODUCCIÓN Y ALMACENAMIENTO DE PRODUCTO TERMINADO</t>
    </r>
  </si>
  <si>
    <r>
      <rPr>
        <b/>
        <sz val="11"/>
        <color theme="1"/>
        <rFont val="Calibri"/>
        <family val="2"/>
        <scheme val="minor"/>
      </rPr>
      <t>OPERARIO:</t>
    </r>
    <r>
      <rPr>
        <sz val="11"/>
        <color theme="1"/>
        <rFont val="Calibri"/>
        <family val="2"/>
        <scheme val="minor"/>
      </rPr>
      <t xml:space="preserve"> 8 OPERARIOS VARIOS</t>
    </r>
  </si>
  <si>
    <r>
      <rPr>
        <b/>
        <sz val="11"/>
        <color theme="1"/>
        <rFont val="Calibri"/>
        <family val="2"/>
        <scheme val="minor"/>
      </rPr>
      <t xml:space="preserve">HAB = </t>
    </r>
    <r>
      <rPr>
        <sz val="11"/>
        <color theme="1"/>
        <rFont val="Calibri"/>
        <family val="2"/>
        <scheme val="minor"/>
      </rPr>
      <t>HABILIDAD</t>
    </r>
  </si>
  <si>
    <r>
      <rPr>
        <b/>
        <sz val="11"/>
        <color theme="1"/>
        <rFont val="Calibri"/>
        <family val="2"/>
        <scheme val="minor"/>
      </rPr>
      <t xml:space="preserve">ESF = </t>
    </r>
    <r>
      <rPr>
        <sz val="11"/>
        <color theme="1"/>
        <rFont val="Calibri"/>
        <family val="2"/>
        <scheme val="minor"/>
      </rPr>
      <t>ESFUERZO</t>
    </r>
  </si>
  <si>
    <r>
      <rPr>
        <b/>
        <sz val="11"/>
        <color theme="1"/>
        <rFont val="Calibri"/>
        <family val="2"/>
        <scheme val="minor"/>
      </rPr>
      <t xml:space="preserve">HORA FINALIZACIÓN:  </t>
    </r>
    <r>
      <rPr>
        <sz val="11"/>
        <color theme="1"/>
        <rFont val="Calibri"/>
        <family val="2"/>
        <scheme val="minor"/>
      </rPr>
      <t>15:07/13:50</t>
    </r>
  </si>
  <si>
    <r>
      <rPr>
        <b/>
        <sz val="11"/>
        <color theme="1"/>
        <rFont val="Calibri"/>
        <family val="2"/>
        <scheme val="minor"/>
      </rPr>
      <t>SUBPROCESO:</t>
    </r>
    <r>
      <rPr>
        <sz val="11"/>
        <color theme="1"/>
        <rFont val="Calibri"/>
        <family val="2"/>
        <scheme val="minor"/>
      </rPr>
      <t xml:space="preserve"> LINEA RECUBRIDORA</t>
    </r>
  </si>
  <si>
    <r>
      <rPr>
        <b/>
        <sz val="11"/>
        <color theme="1"/>
        <rFont val="Calibri"/>
        <family val="2"/>
        <scheme val="minor"/>
      </rPr>
      <t>MAQUINA:</t>
    </r>
    <r>
      <rPr>
        <sz val="11"/>
        <color theme="1"/>
        <rFont val="Calibri"/>
        <family val="2"/>
        <scheme val="minor"/>
      </rPr>
      <t xml:space="preserve"> RECUBRIDORA E INSPECCIONADORA</t>
    </r>
  </si>
  <si>
    <r>
      <rPr>
        <b/>
        <sz val="11"/>
        <color theme="1"/>
        <rFont val="Calibri"/>
        <family val="2"/>
        <scheme val="minor"/>
      </rPr>
      <t xml:space="preserve">COND = </t>
    </r>
    <r>
      <rPr>
        <sz val="11"/>
        <color theme="1"/>
        <rFont val="Calibri"/>
        <family val="2"/>
        <scheme val="minor"/>
      </rPr>
      <t>CONDICIONES</t>
    </r>
  </si>
  <si>
    <r>
      <rPr>
        <b/>
        <sz val="11"/>
        <color theme="1"/>
        <rFont val="Calibri"/>
        <family val="2"/>
        <scheme val="minor"/>
      </rPr>
      <t xml:space="preserve">CONS = </t>
    </r>
    <r>
      <rPr>
        <sz val="11"/>
        <color theme="1"/>
        <rFont val="Calibri"/>
        <family val="2"/>
        <scheme val="minor"/>
      </rPr>
      <t>CONSISTENCIA</t>
    </r>
  </si>
  <si>
    <r>
      <rPr>
        <b/>
        <sz val="11"/>
        <color theme="1"/>
        <rFont val="Calibri"/>
        <family val="2"/>
        <scheme val="minor"/>
      </rPr>
      <t>PRODUCTO:</t>
    </r>
    <r>
      <rPr>
        <sz val="11"/>
        <color theme="1"/>
        <rFont val="Calibri"/>
        <family val="2"/>
        <scheme val="minor"/>
      </rPr>
      <t xml:space="preserve"> 10 ROLLOS DE CUERINA PLUMÓN NEGRA </t>
    </r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</si>
  <si>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>JONATHAN ALVAREZ
                               JUAN BERNAL</t>
    </r>
  </si>
  <si>
    <t>VALORACIÓN DEL RITMO DE TRABAJO (%)</t>
  </si>
  <si>
    <t xml:space="preserve">SUBPROCESO: LINEA RECUBRIDORA </t>
  </si>
  <si>
    <t xml:space="preserve"> OPERARIO EMULSIÓN </t>
  </si>
  <si>
    <t>OPERARIO  REBOBINADO 1</t>
  </si>
  <si>
    <t>OPERARIO  REBOBINADO 2</t>
  </si>
  <si>
    <t>OPERARIO  REBOBINADO 3</t>
  </si>
  <si>
    <t xml:space="preserve">OPERARIO MONTACARGAS </t>
  </si>
  <si>
    <t>OPERARIO  INSPECCIÓN 1</t>
  </si>
  <si>
    <t>OPERARIO  INSPECCIÓN 2</t>
  </si>
  <si>
    <t xml:space="preserve"> OPERARIO MONTACARGAS BODEGA</t>
  </si>
  <si>
    <t>PROMEDIO TOTAL</t>
  </si>
  <si>
    <t>VALORACIÓN</t>
  </si>
  <si>
    <t xml:space="preserve">TIEMPO OBSERVADO TOTAL </t>
  </si>
  <si>
    <t>PROMEDIO TIEMPO OBSERVADO</t>
  </si>
  <si>
    <t>TIEMPO NORMAL</t>
  </si>
  <si>
    <t>HOLGURA</t>
  </si>
  <si>
    <t>TIEMPO ESTÁNDAR (min)</t>
  </si>
  <si>
    <t>HAB</t>
  </si>
  <si>
    <t>ESF</t>
  </si>
  <si>
    <t>COND</t>
  </si>
  <si>
    <t>CONS</t>
  </si>
  <si>
    <t xml:space="preserve">Depósito de la pasta, ingreso de la tela, separación de papel y rebobinado </t>
  </si>
  <si>
    <t>X</t>
  </si>
  <si>
    <t>FECHA ESTUDIO:  04/05/2015-05/05/2015</t>
  </si>
  <si>
    <t>MATERIAL:  MEZCLA BEMA SEGÚN ORDEN DE PREPARACIÓN</t>
  </si>
  <si>
    <t>HORA COMIENZO: 8:00/8:00</t>
  </si>
  <si>
    <t>OPERARIO: 5 OPERARIOS VARIOS</t>
  </si>
  <si>
    <t>HORA FINALIZACIÓN : 16:11/15:21</t>
  </si>
  <si>
    <t>SUBPROCESO: LINEA BEMA</t>
  </si>
  <si>
    <t>MAQUINA: BEMA, EXTRUSOR</t>
  </si>
  <si>
    <t>PRODUCTO: 20 ROLLOS DE PERMAX NEGRODE 750 MICRAS</t>
  </si>
  <si>
    <t>ELABORADO POR: JONATHAN ALVAREZ
                                JUAN BERNAL</t>
  </si>
  <si>
    <t xml:space="preserve">Ingreso de la mezcla en la tolva, extrusión,laminado y rebobinado  </t>
  </si>
  <si>
    <t>Transportar el rollo a posición de espera para segunda capa</t>
  </si>
  <si>
    <t>Transporte  del rollo desde posición de espera  hasta ingreso a rodillos</t>
  </si>
  <si>
    <t>Ingreso del rollo a maquinaria para segunda capa de mezcla</t>
  </si>
  <si>
    <t>Entregar el Producto terminado a Bodega</t>
  </si>
  <si>
    <t>tiempo de espera</t>
  </si>
  <si>
    <t>MEDIA</t>
  </si>
  <si>
    <t>DESV ESTANDAR</t>
  </si>
  <si>
    <t>n=</t>
  </si>
  <si>
    <r>
      <rPr>
        <b/>
        <sz val="11"/>
        <color theme="1"/>
        <rFont val="Calibri"/>
        <family val="2"/>
        <scheme val="minor"/>
      </rPr>
      <t xml:space="preserve">FECHA ESTUDIO: </t>
    </r>
    <r>
      <rPr>
        <sz val="11"/>
        <color theme="1"/>
        <rFont val="Calibri"/>
        <family val="2"/>
        <scheme val="minor"/>
      </rPr>
      <t xml:space="preserve"> 04/05/2015-05/05/2015</t>
    </r>
  </si>
  <si>
    <r>
      <rPr>
        <b/>
        <sz val="11"/>
        <color theme="1"/>
        <rFont val="Calibri"/>
        <family val="2"/>
        <scheme val="minor"/>
      </rPr>
      <t xml:space="preserve">DEPARTAMENTO: </t>
    </r>
    <r>
      <rPr>
        <sz val="11"/>
        <color theme="1"/>
        <rFont val="Calibri"/>
        <family val="2"/>
        <scheme val="minor"/>
      </rPr>
      <t>PRODUCCIÓN</t>
    </r>
  </si>
  <si>
    <r>
      <rPr>
        <b/>
        <sz val="11"/>
        <color theme="1"/>
        <rFont val="Calibri"/>
        <family val="2"/>
        <scheme val="minor"/>
      </rPr>
      <t xml:space="preserve">MATERIAL: </t>
    </r>
    <r>
      <rPr>
        <sz val="11"/>
        <color theme="1"/>
        <rFont val="Calibri"/>
        <family val="2"/>
        <scheme val="minor"/>
      </rPr>
      <t xml:space="preserve"> MEZCLA BEMA SEGÚN ORDEN DE PREPARACIÓN</t>
    </r>
  </si>
  <si>
    <r>
      <rPr>
        <b/>
        <sz val="11"/>
        <color theme="1"/>
        <rFont val="Calibri"/>
        <family val="2"/>
        <scheme val="minor"/>
      </rPr>
      <t>HORA COMIENZO:</t>
    </r>
    <r>
      <rPr>
        <sz val="11"/>
        <color theme="1"/>
        <rFont val="Calibri"/>
        <family val="2"/>
        <scheme val="minor"/>
      </rPr>
      <t xml:space="preserve">  8:00/8:00</t>
    </r>
  </si>
  <si>
    <r>
      <rPr>
        <b/>
        <sz val="11"/>
        <color theme="1"/>
        <rFont val="Calibri"/>
        <family val="2"/>
        <scheme val="minor"/>
      </rPr>
      <t>OPERARIO:</t>
    </r>
    <r>
      <rPr>
        <sz val="11"/>
        <color theme="1"/>
        <rFont val="Calibri"/>
        <family val="2"/>
        <scheme val="minor"/>
      </rPr>
      <t xml:space="preserve"> 6 OPERARIOS VARIOS</t>
    </r>
  </si>
  <si>
    <r>
      <rPr>
        <b/>
        <sz val="11"/>
        <color theme="1"/>
        <rFont val="Calibri"/>
        <family val="2"/>
        <scheme val="minor"/>
      </rPr>
      <t>HORA FINALIZACIÓN:</t>
    </r>
    <r>
      <rPr>
        <sz val="11"/>
        <color theme="1"/>
        <rFont val="Calibri"/>
        <family val="2"/>
        <scheme val="minor"/>
      </rPr>
      <t xml:space="preserve">  16:11/15:21</t>
    </r>
  </si>
  <si>
    <r>
      <rPr>
        <b/>
        <sz val="11"/>
        <color theme="1"/>
        <rFont val="Calibri"/>
        <family val="2"/>
        <scheme val="minor"/>
      </rPr>
      <t xml:space="preserve">SUBPROCESO: </t>
    </r>
    <r>
      <rPr>
        <sz val="11"/>
        <color theme="1"/>
        <rFont val="Calibri"/>
        <family val="2"/>
        <scheme val="minor"/>
      </rPr>
      <t>LINEA BEMA</t>
    </r>
  </si>
  <si>
    <r>
      <rPr>
        <b/>
        <sz val="11"/>
        <color theme="1"/>
        <rFont val="Calibri"/>
        <family val="2"/>
        <scheme val="minor"/>
      </rPr>
      <t xml:space="preserve">MAQUINA: </t>
    </r>
    <r>
      <rPr>
        <sz val="11"/>
        <color theme="1"/>
        <rFont val="Calibri"/>
        <family val="2"/>
        <scheme val="minor"/>
      </rPr>
      <t>BEMA</t>
    </r>
  </si>
  <si>
    <r>
      <rPr>
        <b/>
        <sz val="11"/>
        <color theme="1"/>
        <rFont val="Calibri"/>
        <family val="2"/>
        <scheme val="minor"/>
      </rPr>
      <t>PRODUCTO:</t>
    </r>
    <r>
      <rPr>
        <sz val="11"/>
        <color theme="1"/>
        <rFont val="Calibri"/>
        <family val="2"/>
        <scheme val="minor"/>
      </rPr>
      <t xml:space="preserve"> 20 ROLLOS DE GEOMEMBRANA PERMAX NEGRA DE 750 MICRAS</t>
    </r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</si>
  <si>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JONATHAN ALVAREZ
                                JUAN BERNAL</t>
    </r>
  </si>
  <si>
    <t xml:space="preserve">SUBPROCESO: LINEA BEMA </t>
  </si>
  <si>
    <t xml:space="preserve"> OPERARIO TOLVA</t>
  </si>
  <si>
    <t xml:space="preserve"> OPERARIO CHORIZO</t>
  </si>
  <si>
    <t>JEFE DE LINEA</t>
  </si>
  <si>
    <t>OPERARIO LAMINADO 1</t>
  </si>
  <si>
    <t>OPERARIO LAMINADO 2</t>
  </si>
  <si>
    <t xml:space="preserve"> OPERARIO MONTACARGAS</t>
  </si>
  <si>
    <t>TIEMPO OBSERVADO TOTAL</t>
  </si>
  <si>
    <t>PROMEDIO  TIEMPO OBSERVADO</t>
  </si>
  <si>
    <t xml:space="preserve">TIEMPO NORMAL </t>
  </si>
  <si>
    <t>CON</t>
  </si>
  <si>
    <t xml:space="preserve">Ingreso de la mezcla en la tolva, extrusión, laminado y rebobinado  </t>
  </si>
  <si>
    <t>Ingreso de la mezcla en la tolva, extrusión, laminado y rebobinado.</t>
  </si>
  <si>
    <t>Transportar el rollo a posición de espera para segunda capa.</t>
  </si>
  <si>
    <t>Espera temporal.</t>
  </si>
  <si>
    <t>Transporte  del rollo desde posición de espera  hasta ingreso a rodillos.</t>
  </si>
  <si>
    <t>Ingreso del rollo a maquinaria para segunda capa de mezcla.</t>
  </si>
  <si>
    <t>Entregar el Producto terminado a Bodega.</t>
  </si>
  <si>
    <t xml:space="preserve">PRODUCTO:  10 ROLLOS DE CUERINA PLUMÓN NEGRA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</si>
</sst>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2" fillId="3" borderId="8" xfId="0" applyFont="1" applyFill="1" applyBorder="1"/>
    <xf numFmtId="0" fontId="3" fillId="3" borderId="2" xfId="0" applyFont="1" applyFill="1" applyBorder="1"/>
    <xf numFmtId="0" fontId="0" fillId="0" borderId="0" xfId="0" applyFill="1" applyBorder="1"/>
    <xf numFmtId="0" fontId="7" fillId="0" borderId="3" xfId="0" applyFont="1" applyBorder="1"/>
    <xf numFmtId="0" fontId="2" fillId="0" borderId="0" xfId="0" applyFont="1" applyBorder="1"/>
    <xf numFmtId="0" fontId="3" fillId="0" borderId="3" xfId="0" applyFont="1" applyBorder="1"/>
    <xf numFmtId="0" fontId="7" fillId="3" borderId="3" xfId="0" applyFont="1" applyFill="1" applyBorder="1"/>
    <xf numFmtId="0" fontId="2" fillId="3" borderId="0" xfId="0" applyFont="1" applyFill="1" applyBorder="1"/>
    <xf numFmtId="0" fontId="3" fillId="3" borderId="3" xfId="0" applyFont="1" applyFill="1" applyBorder="1"/>
    <xf numFmtId="0" fontId="3" fillId="0" borderId="13" xfId="0" applyFont="1" applyBorder="1" applyAlignment="1">
      <alignment horizontal="left" vertical="center"/>
    </xf>
    <xf numFmtId="0" fontId="8" fillId="3" borderId="3" xfId="0" applyFont="1" applyFill="1" applyBorder="1"/>
    <xf numFmtId="0" fontId="8" fillId="0" borderId="3" xfId="0" applyFont="1" applyBorder="1"/>
    <xf numFmtId="0" fontId="7" fillId="4" borderId="3" xfId="0" applyFont="1" applyFill="1" applyBorder="1"/>
    <xf numFmtId="0" fontId="2" fillId="4" borderId="0" xfId="0" applyFont="1" applyFill="1" applyBorder="1"/>
    <xf numFmtId="0" fontId="3" fillId="4" borderId="3" xfId="0" applyFont="1" applyFill="1" applyBorder="1"/>
    <xf numFmtId="0" fontId="7" fillId="0" borderId="3" xfId="0" applyFont="1" applyFill="1" applyBorder="1"/>
    <xf numFmtId="0" fontId="2" fillId="0" borderId="0" xfId="0" applyFont="1" applyFill="1" applyBorder="1"/>
    <xf numFmtId="0" fontId="3" fillId="0" borderId="3" xfId="0" applyFont="1" applyFill="1" applyBorder="1"/>
    <xf numFmtId="0" fontId="7" fillId="3" borderId="4" xfId="0" applyFont="1" applyFill="1" applyBorder="1"/>
    <xf numFmtId="0" fontId="9" fillId="3" borderId="11" xfId="0" applyFont="1" applyFill="1" applyBorder="1"/>
    <xf numFmtId="0" fontId="10" fillId="3" borderId="4" xfId="0" applyFont="1" applyFill="1" applyBorder="1"/>
    <xf numFmtId="0" fontId="1" fillId="3" borderId="4" xfId="0" applyFont="1" applyFill="1" applyBorder="1"/>
    <xf numFmtId="0" fontId="0" fillId="0" borderId="0" xfId="0" applyFill="1"/>
    <xf numFmtId="0" fontId="0" fillId="0" borderId="0" xfId="0" applyAlignment="1">
      <alignment vertical="top"/>
    </xf>
    <xf numFmtId="0" fontId="11" fillId="0" borderId="0" xfId="0" applyFont="1"/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3" xfId="0" applyFill="1" applyBorder="1"/>
    <xf numFmtId="1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/>
    <xf numFmtId="2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10" fontId="3" fillId="3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4" xfId="0" applyFont="1" applyBorder="1" applyAlignment="1">
      <alignment horizontal="left" vertical="top"/>
    </xf>
    <xf numFmtId="47" fontId="0" fillId="5" borderId="1" xfId="0" applyNumberFormat="1" applyFill="1" applyBorder="1"/>
    <xf numFmtId="0" fontId="0" fillId="0" borderId="1" xfId="0" applyFont="1" applyBorder="1" applyAlignment="1">
      <alignment horizontal="left" vertical="top"/>
    </xf>
    <xf numFmtId="21" fontId="0" fillId="5" borderId="7" xfId="0" applyNumberFormat="1" applyFill="1" applyBorder="1"/>
    <xf numFmtId="21" fontId="0" fillId="5" borderId="0" xfId="0" applyNumberFormat="1" applyFill="1"/>
    <xf numFmtId="21" fontId="0" fillId="5" borderId="2" xfId="0" applyNumberFormat="1" applyFill="1" applyBorder="1"/>
    <xf numFmtId="47" fontId="0" fillId="5" borderId="4" xfId="0" applyNumberFormat="1" applyFill="1" applyBorder="1"/>
    <xf numFmtId="2" fontId="0" fillId="0" borderId="4" xfId="0" applyNumberFormat="1" applyFill="1" applyBorder="1"/>
    <xf numFmtId="21" fontId="0" fillId="5" borderId="1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/>
    <xf numFmtId="47" fontId="0" fillId="0" borderId="0" xfId="0" applyNumberFormat="1" applyBorder="1"/>
    <xf numFmtId="21" fontId="0" fillId="0" borderId="0" xfId="0" applyNumberFormat="1"/>
    <xf numFmtId="0" fontId="12" fillId="0" borderId="0" xfId="0" applyFont="1"/>
    <xf numFmtId="47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0" fontId="3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left" vertical="top"/>
    </xf>
    <xf numFmtId="164" fontId="0" fillId="0" borderId="1" xfId="0" applyNumberFormat="1" applyBorder="1"/>
    <xf numFmtId="0" fontId="0" fillId="0" borderId="2" xfId="0" applyBorder="1"/>
    <xf numFmtId="2" fontId="0" fillId="5" borderId="1" xfId="0" applyNumberFormat="1" applyFill="1" applyBorder="1" applyAlignment="1">
      <alignment horizontal="left" vertical="top"/>
    </xf>
    <xf numFmtId="2" fontId="0" fillId="5" borderId="1" xfId="0" applyNumberFormat="1" applyFill="1" applyBorder="1"/>
    <xf numFmtId="165" fontId="0" fillId="0" borderId="1" xfId="0" applyNumberFormat="1" applyBorder="1" applyAlignment="1">
      <alignment horizontal="center"/>
    </xf>
    <xf numFmtId="0" fontId="0" fillId="0" borderId="3" xfId="0" applyBorder="1"/>
    <xf numFmtId="165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2" fontId="0" fillId="0" borderId="1" xfId="0" applyNumberFormat="1" applyFill="1" applyBorder="1"/>
    <xf numFmtId="21" fontId="5" fillId="0" borderId="1" xfId="0" applyNumberFormat="1" applyFont="1" applyBorder="1" applyAlignment="1">
      <alignment horizontal="left" vertical="top"/>
    </xf>
    <xf numFmtId="46" fontId="5" fillId="0" borderId="1" xfId="0" applyNumberFormat="1" applyFont="1" applyBorder="1" applyAlignment="1">
      <alignment horizontal="left" vertical="top"/>
    </xf>
    <xf numFmtId="46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21" fontId="5" fillId="0" borderId="0" xfId="0" applyNumberFormat="1" applyFont="1" applyAlignment="1">
      <alignment horizontal="left"/>
    </xf>
    <xf numFmtId="21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/>
    </xf>
    <xf numFmtId="0" fontId="0" fillId="0" borderId="4" xfId="0" applyBorder="1"/>
    <xf numFmtId="2" fontId="0" fillId="0" borderId="1" xfId="0" applyNumberFormat="1" applyFill="1" applyBorder="1" applyAlignment="1">
      <alignment horizontal="left" vertical="top"/>
    </xf>
    <xf numFmtId="164" fontId="0" fillId="5" borderId="0" xfId="0" applyNumberFormat="1" applyFill="1"/>
    <xf numFmtId="2" fontId="0" fillId="4" borderId="1" xfId="0" applyNumberFormat="1" applyFill="1" applyBorder="1" applyAlignment="1">
      <alignment horizontal="left" vertical="top"/>
    </xf>
    <xf numFmtId="2" fontId="0" fillId="0" borderId="3" xfId="0" applyNumberFormat="1" applyFill="1" applyBorder="1" applyAlignment="1">
      <alignment horizontal="left" vertical="top"/>
    </xf>
    <xf numFmtId="46" fontId="0" fillId="0" borderId="0" xfId="0" applyNumberFormat="1"/>
    <xf numFmtId="166" fontId="0" fillId="0" borderId="0" xfId="0" applyNumberFormat="1"/>
    <xf numFmtId="2" fontId="0" fillId="0" borderId="0" xfId="0" applyNumberFormat="1" applyFill="1"/>
    <xf numFmtId="0" fontId="0" fillId="0" borderId="7" xfId="0" applyFont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0" xfId="0" applyFont="1" applyBorder="1" applyAlignment="1"/>
    <xf numFmtId="0" fontId="4" fillId="0" borderId="1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 vertical="top"/>
    </xf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" fontId="0" fillId="0" borderId="1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7" fontId="0" fillId="0" borderId="1" xfId="0" applyNumberFormat="1" applyBorder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left" vertical="center"/>
    </xf>
    <xf numFmtId="2" fontId="0" fillId="0" borderId="8" xfId="0" applyNumberFormat="1" applyFill="1" applyBorder="1" applyAlignment="1">
      <alignment horizontal="left" vertical="center"/>
    </xf>
    <xf numFmtId="2" fontId="0" fillId="0" borderId="9" xfId="0" applyNumberFormat="1" applyFill="1" applyBorder="1" applyAlignment="1">
      <alignment horizontal="left" vertical="center"/>
    </xf>
    <xf numFmtId="2" fontId="0" fillId="0" borderId="10" xfId="0" applyNumberFormat="1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left" vertical="center"/>
    </xf>
    <xf numFmtId="2" fontId="0" fillId="0" borderId="12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DIAGRAMA DE PARETO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[1]M.PRIORIZACION!$E$49</c:f>
              <c:strCache>
                <c:ptCount val="1"/>
                <c:pt idx="0">
                  <c:v>PUNTAJE</c:v>
                </c:pt>
              </c:strCache>
            </c:strRef>
          </c:tx>
          <c:invertIfNegative val="0"/>
          <c:cat>
            <c:strRef>
              <c:f>[1]M.PRIORIZACION!$D$50:$D$74</c:f>
              <c:strCache>
                <c:ptCount val="25"/>
                <c:pt idx="0">
                  <c:v>Ventas y Logística de Transporte</c:v>
                </c:pt>
                <c:pt idx="1">
                  <c:v>Línea Recubridora</c:v>
                </c:pt>
                <c:pt idx="2">
                  <c:v>Línea Bema</c:v>
                </c:pt>
                <c:pt idx="3">
                  <c:v>Calidad</c:v>
                </c:pt>
                <c:pt idx="4">
                  <c:v>Logística de Bodega de Materiales</c:v>
                </c:pt>
                <c:pt idx="5">
                  <c:v>Servicio al Cliente</c:v>
                </c:pt>
                <c:pt idx="6">
                  <c:v>Gestión de Ventas</c:v>
                </c:pt>
                <c:pt idx="7">
                  <c:v>Compras</c:v>
                </c:pt>
                <c:pt idx="8">
                  <c:v>Mantenimiento Correctivo</c:v>
                </c:pt>
                <c:pt idx="9">
                  <c:v>Mantenimiento Preventivo</c:v>
                </c:pt>
                <c:pt idx="10">
                  <c:v>Importaciones</c:v>
                </c:pt>
                <c:pt idx="11">
                  <c:v>Exportaciones</c:v>
                </c:pt>
                <c:pt idx="12">
                  <c:v>Desarrollo Técnico y Mezclas de Línea Recubridora</c:v>
                </c:pt>
                <c:pt idx="13">
                  <c:v>Desarrollo Técnico y Mezclas de Línea Bema</c:v>
                </c:pt>
                <c:pt idx="14">
                  <c:v>Prevención en S.S.O</c:v>
                </c:pt>
                <c:pt idx="15">
                  <c:v>Atención en Accidentes de Trabajo</c:v>
                </c:pt>
                <c:pt idx="16">
                  <c:v>Gestión de Costos</c:v>
                </c:pt>
                <c:pt idx="17">
                  <c:v>Pago a Proveedores</c:v>
                </c:pt>
                <c:pt idx="18">
                  <c:v>Gestión de Estados Financieros</c:v>
                </c:pt>
                <c:pt idx="19">
                  <c:v>Gestión de Cobros</c:v>
                </c:pt>
                <c:pt idx="20">
                  <c:v>Contratación</c:v>
                </c:pt>
                <c:pt idx="21">
                  <c:v>Nóminas</c:v>
                </c:pt>
                <c:pt idx="22">
                  <c:v>Elaboración de Anexos y Declaraciones</c:v>
                </c:pt>
                <c:pt idx="23">
                  <c:v>Declaración de IR en Relación de Dependencia</c:v>
                </c:pt>
                <c:pt idx="24">
                  <c:v>Elaboración de Estados Financieros</c:v>
                </c:pt>
              </c:strCache>
            </c:strRef>
          </c:cat>
          <c:val>
            <c:numRef>
              <c:f>[1]M.PRIORIZACION!$E$50:$E$74</c:f>
              <c:numCache>
                <c:formatCode>General</c:formatCode>
                <c:ptCount val="25"/>
                <c:pt idx="0">
                  <c:v>102</c:v>
                </c:pt>
                <c:pt idx="1">
                  <c:v>99</c:v>
                </c:pt>
                <c:pt idx="2">
                  <c:v>99</c:v>
                </c:pt>
                <c:pt idx="3">
                  <c:v>96</c:v>
                </c:pt>
                <c:pt idx="4">
                  <c:v>86</c:v>
                </c:pt>
                <c:pt idx="5">
                  <c:v>84</c:v>
                </c:pt>
                <c:pt idx="6">
                  <c:v>81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78</c:v>
                </c:pt>
                <c:pt idx="11">
                  <c:v>72</c:v>
                </c:pt>
                <c:pt idx="12">
                  <c:v>71</c:v>
                </c:pt>
                <c:pt idx="13">
                  <c:v>71</c:v>
                </c:pt>
                <c:pt idx="14">
                  <c:v>64</c:v>
                </c:pt>
                <c:pt idx="15">
                  <c:v>64</c:v>
                </c:pt>
                <c:pt idx="16">
                  <c:v>63</c:v>
                </c:pt>
                <c:pt idx="17">
                  <c:v>57</c:v>
                </c:pt>
                <c:pt idx="18">
                  <c:v>51</c:v>
                </c:pt>
                <c:pt idx="19">
                  <c:v>48</c:v>
                </c:pt>
                <c:pt idx="20">
                  <c:v>41</c:v>
                </c:pt>
                <c:pt idx="21">
                  <c:v>38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96064"/>
        <c:axId val="118649600"/>
      </c:barChart>
      <c:lineChart>
        <c:grouping val="standard"/>
        <c:varyColors val="0"/>
        <c:ser>
          <c:idx val="1"/>
          <c:order val="1"/>
          <c:tx>
            <c:strRef>
              <c:f>[1]M.PRIORIZACION!$F$49</c:f>
              <c:strCache>
                <c:ptCount val="1"/>
                <c:pt idx="0">
                  <c:v>% ACUMULADO</c:v>
                </c:pt>
              </c:strCache>
            </c:strRef>
          </c:tx>
          <c:cat>
            <c:strRef>
              <c:f>[1]M.PRIORIZACION!$D$50:$D$74</c:f>
              <c:strCache>
                <c:ptCount val="25"/>
                <c:pt idx="0">
                  <c:v>Ventas y Logística de Transporte</c:v>
                </c:pt>
                <c:pt idx="1">
                  <c:v>Línea Recubridora</c:v>
                </c:pt>
                <c:pt idx="2">
                  <c:v>Línea Bema</c:v>
                </c:pt>
                <c:pt idx="3">
                  <c:v>Calidad</c:v>
                </c:pt>
                <c:pt idx="4">
                  <c:v>Logística de Bodega de Materiales</c:v>
                </c:pt>
                <c:pt idx="5">
                  <c:v>Servicio al Cliente</c:v>
                </c:pt>
                <c:pt idx="6">
                  <c:v>Gestión de Ventas</c:v>
                </c:pt>
                <c:pt idx="7">
                  <c:v>Compras</c:v>
                </c:pt>
                <c:pt idx="8">
                  <c:v>Mantenimiento Correctivo</c:v>
                </c:pt>
                <c:pt idx="9">
                  <c:v>Mantenimiento Preventivo</c:v>
                </c:pt>
                <c:pt idx="10">
                  <c:v>Importaciones</c:v>
                </c:pt>
                <c:pt idx="11">
                  <c:v>Exportaciones</c:v>
                </c:pt>
                <c:pt idx="12">
                  <c:v>Desarrollo Técnico y Mezclas de Línea Recubridora</c:v>
                </c:pt>
                <c:pt idx="13">
                  <c:v>Desarrollo Técnico y Mezclas de Línea Bema</c:v>
                </c:pt>
                <c:pt idx="14">
                  <c:v>Prevención en S.S.O</c:v>
                </c:pt>
                <c:pt idx="15">
                  <c:v>Atención en Accidentes de Trabajo</c:v>
                </c:pt>
                <c:pt idx="16">
                  <c:v>Gestión de Costos</c:v>
                </c:pt>
                <c:pt idx="17">
                  <c:v>Pago a Proveedores</c:v>
                </c:pt>
                <c:pt idx="18">
                  <c:v>Gestión de Estados Financieros</c:v>
                </c:pt>
                <c:pt idx="19">
                  <c:v>Gestión de Cobros</c:v>
                </c:pt>
                <c:pt idx="20">
                  <c:v>Contratación</c:v>
                </c:pt>
                <c:pt idx="21">
                  <c:v>Nóminas</c:v>
                </c:pt>
                <c:pt idx="22">
                  <c:v>Elaboración de Anexos y Declaraciones</c:v>
                </c:pt>
                <c:pt idx="23">
                  <c:v>Declaración de IR en Relación de Dependencia</c:v>
                </c:pt>
                <c:pt idx="24">
                  <c:v>Elaboración de Estados Financieros</c:v>
                </c:pt>
              </c:strCache>
            </c:strRef>
          </c:cat>
          <c:val>
            <c:numRef>
              <c:f>[1]M.PRIORIZACION!$F$50:$F$74</c:f>
              <c:numCache>
                <c:formatCode>General</c:formatCode>
                <c:ptCount val="25"/>
                <c:pt idx="0">
                  <c:v>6.0283687943262407</c:v>
                </c:pt>
                <c:pt idx="1">
                  <c:v>11.879432624113475</c:v>
                </c:pt>
                <c:pt idx="2">
                  <c:v>17.730496453900709</c:v>
                </c:pt>
                <c:pt idx="3">
                  <c:v>23.404255319148938</c:v>
                </c:pt>
                <c:pt idx="4">
                  <c:v>28.486997635933808</c:v>
                </c:pt>
                <c:pt idx="5">
                  <c:v>33.451536643026003</c:v>
                </c:pt>
                <c:pt idx="6">
                  <c:v>38.238770685579198</c:v>
                </c:pt>
                <c:pt idx="7">
                  <c:v>42.966903073286055</c:v>
                </c:pt>
                <c:pt idx="8">
                  <c:v>47.695035460992912</c:v>
                </c:pt>
                <c:pt idx="9">
                  <c:v>52.423167848699769</c:v>
                </c:pt>
                <c:pt idx="10">
                  <c:v>57.033096926713952</c:v>
                </c:pt>
                <c:pt idx="11">
                  <c:v>61.288416075650119</c:v>
                </c:pt>
                <c:pt idx="12">
                  <c:v>65.484633569739955</c:v>
                </c:pt>
                <c:pt idx="13">
                  <c:v>69.680851063829792</c:v>
                </c:pt>
                <c:pt idx="14">
                  <c:v>73.463356973995275</c:v>
                </c:pt>
                <c:pt idx="15">
                  <c:v>77.245862884160758</c:v>
                </c:pt>
                <c:pt idx="16">
                  <c:v>80.969267139479911</c:v>
                </c:pt>
                <c:pt idx="17">
                  <c:v>84.33806146572104</c:v>
                </c:pt>
                <c:pt idx="18">
                  <c:v>87.35224586288416</c:v>
                </c:pt>
                <c:pt idx="19">
                  <c:v>90.189125295508276</c:v>
                </c:pt>
                <c:pt idx="20">
                  <c:v>92.612293144208039</c:v>
                </c:pt>
                <c:pt idx="21">
                  <c:v>94.858156028368796</c:v>
                </c:pt>
                <c:pt idx="22">
                  <c:v>96.572104018912526</c:v>
                </c:pt>
                <c:pt idx="23">
                  <c:v>98.286052009456256</c:v>
                </c:pt>
                <c:pt idx="24">
                  <c:v>99.999999999999986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12160"/>
        <c:axId val="118651136"/>
      </c:lineChart>
      <c:catAx>
        <c:axId val="110296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649600"/>
        <c:crosses val="autoZero"/>
        <c:auto val="1"/>
        <c:lblAlgn val="ctr"/>
        <c:lblOffset val="100"/>
        <c:noMultiLvlLbl val="0"/>
      </c:catAx>
      <c:valAx>
        <c:axId val="1186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296064"/>
        <c:crosses val="autoZero"/>
        <c:crossBetween val="between"/>
      </c:valAx>
      <c:valAx>
        <c:axId val="11865113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crossAx val="126812160"/>
        <c:crosses val="max"/>
        <c:crossBetween val="between"/>
      </c:valAx>
      <c:catAx>
        <c:axId val="1268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651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525235</xdr:colOff>
      <xdr:row>53</xdr:row>
      <xdr:rowOff>46263</xdr:rowOff>
    </xdr:from>
    <xdr:to>
      <xdr:col>22</xdr:col>
      <xdr:colOff>122464</xdr:colOff>
      <xdr:row>81</xdr:row>
      <xdr:rowOff>138792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T/PRIORIZ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PRIORIZACION"/>
      <sheetName val="PCOM"/>
      <sheetName val="PPAL-003"/>
      <sheetName val="PPAL-004"/>
      <sheetName val="PCAL"/>
      <sheetName val="PBMP"/>
      <sheetName val="M.PRIORIZACION (2)"/>
      <sheetName val="T_PCOM"/>
      <sheetName val="T_PPAL-003"/>
      <sheetName val="T_PPAL-004"/>
      <sheetName val="5W2H"/>
      <sheetName val="comermodif"/>
    </sheetNames>
    <sheetDataSet>
      <sheetData sheetId="0">
        <row r="49">
          <cell r="E49" t="str">
            <v>PUNTAJE</v>
          </cell>
          <cell r="F49" t="str">
            <v>% ACUMULADO</v>
          </cell>
        </row>
        <row r="50">
          <cell r="D50" t="str">
            <v>Ventas y Logística de Transporte</v>
          </cell>
          <cell r="E50">
            <v>102</v>
          </cell>
          <cell r="F50">
            <v>6.0283687943262407</v>
          </cell>
        </row>
        <row r="51">
          <cell r="D51" t="str">
            <v>Línea Recubridora</v>
          </cell>
          <cell r="E51">
            <v>99</v>
          </cell>
          <cell r="F51">
            <v>11.879432624113475</v>
          </cell>
        </row>
        <row r="52">
          <cell r="D52" t="str">
            <v>Línea Bema</v>
          </cell>
          <cell r="E52">
            <v>99</v>
          </cell>
          <cell r="F52">
            <v>17.730496453900709</v>
          </cell>
        </row>
        <row r="53">
          <cell r="D53" t="str">
            <v>Calidad</v>
          </cell>
          <cell r="E53">
            <v>96</v>
          </cell>
          <cell r="F53">
            <v>23.404255319148938</v>
          </cell>
        </row>
        <row r="54">
          <cell r="D54" t="str">
            <v>Logística de Bodega de Materiales</v>
          </cell>
          <cell r="E54">
            <v>86</v>
          </cell>
          <cell r="F54">
            <v>28.486997635933808</v>
          </cell>
        </row>
        <row r="55">
          <cell r="D55" t="str">
            <v>Servicio al Cliente</v>
          </cell>
          <cell r="E55">
            <v>84</v>
          </cell>
          <cell r="F55">
            <v>33.451536643026003</v>
          </cell>
        </row>
        <row r="56">
          <cell r="D56" t="str">
            <v>Gestión de Ventas</v>
          </cell>
          <cell r="E56">
            <v>81</v>
          </cell>
          <cell r="F56">
            <v>38.238770685579198</v>
          </cell>
        </row>
        <row r="57">
          <cell r="D57" t="str">
            <v>Compras</v>
          </cell>
          <cell r="E57">
            <v>80</v>
          </cell>
          <cell r="F57">
            <v>42.966903073286055</v>
          </cell>
        </row>
        <row r="58">
          <cell r="D58" t="str">
            <v>Mantenimiento Correctivo</v>
          </cell>
          <cell r="E58">
            <v>80</v>
          </cell>
          <cell r="F58">
            <v>47.695035460992912</v>
          </cell>
        </row>
        <row r="59">
          <cell r="D59" t="str">
            <v>Mantenimiento Preventivo</v>
          </cell>
          <cell r="E59">
            <v>80</v>
          </cell>
          <cell r="F59">
            <v>52.423167848699769</v>
          </cell>
        </row>
        <row r="60">
          <cell r="D60" t="str">
            <v>Importaciones</v>
          </cell>
          <cell r="E60">
            <v>78</v>
          </cell>
          <cell r="F60">
            <v>57.033096926713952</v>
          </cell>
        </row>
        <row r="61">
          <cell r="D61" t="str">
            <v>Exportaciones</v>
          </cell>
          <cell r="E61">
            <v>72</v>
          </cell>
          <cell r="F61">
            <v>61.288416075650119</v>
          </cell>
        </row>
        <row r="62">
          <cell r="D62" t="str">
            <v>Desarrollo Técnico y Mezclas de Línea Recubridora</v>
          </cell>
          <cell r="E62">
            <v>71</v>
          </cell>
          <cell r="F62">
            <v>65.484633569739955</v>
          </cell>
        </row>
        <row r="63">
          <cell r="D63" t="str">
            <v>Desarrollo Técnico y Mezclas de Línea Bema</v>
          </cell>
          <cell r="E63">
            <v>71</v>
          </cell>
          <cell r="F63">
            <v>69.680851063829792</v>
          </cell>
        </row>
        <row r="64">
          <cell r="D64" t="str">
            <v>Prevención en S.S.O</v>
          </cell>
          <cell r="E64">
            <v>64</v>
          </cell>
          <cell r="F64">
            <v>73.463356973995275</v>
          </cell>
        </row>
        <row r="65">
          <cell r="D65" t="str">
            <v>Atención en Accidentes de Trabajo</v>
          </cell>
          <cell r="E65">
            <v>64</v>
          </cell>
          <cell r="F65">
            <v>77.245862884160758</v>
          </cell>
        </row>
        <row r="66">
          <cell r="D66" t="str">
            <v>Gestión de Costos</v>
          </cell>
          <cell r="E66">
            <v>63</v>
          </cell>
          <cell r="F66">
            <v>80.969267139479911</v>
          </cell>
        </row>
        <row r="67">
          <cell r="D67" t="str">
            <v>Pago a Proveedores</v>
          </cell>
          <cell r="E67">
            <v>57</v>
          </cell>
          <cell r="F67">
            <v>84.33806146572104</v>
          </cell>
        </row>
        <row r="68">
          <cell r="D68" t="str">
            <v>Gestión de Estados Financieros</v>
          </cell>
          <cell r="E68">
            <v>51</v>
          </cell>
          <cell r="F68">
            <v>87.35224586288416</v>
          </cell>
        </row>
        <row r="69">
          <cell r="D69" t="str">
            <v>Gestión de Cobros</v>
          </cell>
          <cell r="E69">
            <v>48</v>
          </cell>
          <cell r="F69">
            <v>90.189125295508276</v>
          </cell>
        </row>
        <row r="70">
          <cell r="D70" t="str">
            <v>Contratación</v>
          </cell>
          <cell r="E70">
            <v>41</v>
          </cell>
          <cell r="F70">
            <v>92.612293144208039</v>
          </cell>
        </row>
        <row r="71">
          <cell r="D71" t="str">
            <v>Nóminas</v>
          </cell>
          <cell r="E71">
            <v>38</v>
          </cell>
          <cell r="F71">
            <v>94.858156028368796</v>
          </cell>
        </row>
        <row r="72">
          <cell r="D72" t="str">
            <v>Elaboración de Anexos y Declaraciones</v>
          </cell>
          <cell r="E72">
            <v>29</v>
          </cell>
          <cell r="F72">
            <v>96.572104018912526</v>
          </cell>
        </row>
        <row r="73">
          <cell r="D73" t="str">
            <v>Declaración de IR en Relación de Dependencia</v>
          </cell>
          <cell r="E73">
            <v>29</v>
          </cell>
          <cell r="F73">
            <v>98.286052009456256</v>
          </cell>
        </row>
        <row r="74">
          <cell r="D74" t="str">
            <v>Elaboración de Estados Financieros</v>
          </cell>
          <cell r="E74">
            <v>29</v>
          </cell>
          <cell r="F74">
            <v>99.999999999999986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topLeftCell="D1" zoomScaleNormal="100" workbookViewId="0">
      <selection activeCell="E14" sqref="E14"/>
    </sheetView>
  </sheetViews>
  <sheetFormatPr baseColWidth="10" defaultRowHeight="15" x14ac:dyDescent="0.25"/>
  <cols>
    <col min="1" max="1" width="23" customWidth="1"/>
    <col min="2" max="4" width="45.42578125" customWidth="1"/>
    <col min="5" max="7" width="10" customWidth="1"/>
    <col min="8" max="10" width="32" customWidth="1"/>
  </cols>
  <sheetData>
    <row r="4" spans="1:10" ht="18.75" x14ac:dyDescent="0.3">
      <c r="A4" s="173" t="s">
        <v>71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69" t="s">
        <v>3</v>
      </c>
      <c r="B5" s="169" t="s">
        <v>0</v>
      </c>
      <c r="C5" s="169" t="s">
        <v>1</v>
      </c>
      <c r="D5" s="169" t="s">
        <v>34</v>
      </c>
      <c r="E5" s="169" t="s">
        <v>13</v>
      </c>
      <c r="F5" s="169" t="s">
        <v>61</v>
      </c>
      <c r="G5" s="169" t="s">
        <v>2</v>
      </c>
      <c r="H5" s="169" t="s">
        <v>58</v>
      </c>
      <c r="I5" s="169" t="s">
        <v>4</v>
      </c>
      <c r="J5" s="169" t="s">
        <v>66</v>
      </c>
    </row>
    <row r="6" spans="1:10" ht="29.25" customHeight="1" x14ac:dyDescent="0.25">
      <c r="A6" s="169"/>
      <c r="B6" s="169"/>
      <c r="C6" s="169"/>
      <c r="D6" s="169"/>
      <c r="E6" s="169"/>
      <c r="F6" s="169"/>
      <c r="G6" s="169"/>
      <c r="H6" s="169"/>
      <c r="I6" s="169"/>
      <c r="J6" s="169"/>
    </row>
    <row r="7" spans="1:10" ht="48.75" customHeight="1" x14ac:dyDescent="0.25">
      <c r="A7" s="168" t="s">
        <v>12</v>
      </c>
      <c r="B7" s="2" t="s">
        <v>14</v>
      </c>
      <c r="C7" s="2" t="s">
        <v>59</v>
      </c>
      <c r="D7" s="2" t="s">
        <v>35</v>
      </c>
      <c r="E7" s="3">
        <v>100</v>
      </c>
      <c r="F7" s="4" t="s">
        <v>5</v>
      </c>
      <c r="G7" s="2" t="s">
        <v>9</v>
      </c>
      <c r="H7" s="2" t="s">
        <v>15</v>
      </c>
      <c r="I7" s="5" t="s">
        <v>64</v>
      </c>
      <c r="J7" s="5" t="s">
        <v>67</v>
      </c>
    </row>
    <row r="8" spans="1:10" ht="48.75" customHeight="1" x14ac:dyDescent="0.25">
      <c r="A8" s="175" t="s">
        <v>72</v>
      </c>
      <c r="B8" s="2" t="s">
        <v>16</v>
      </c>
      <c r="C8" s="176" t="s">
        <v>36</v>
      </c>
      <c r="D8" s="176" t="s">
        <v>65</v>
      </c>
      <c r="E8" s="174">
        <v>7</v>
      </c>
      <c r="F8" s="177" t="s">
        <v>5</v>
      </c>
      <c r="G8" s="178" t="s">
        <v>9</v>
      </c>
      <c r="H8" s="176" t="s">
        <v>17</v>
      </c>
      <c r="I8" s="176" t="s">
        <v>50</v>
      </c>
      <c r="J8" s="170" t="s">
        <v>67</v>
      </c>
    </row>
    <row r="9" spans="1:10" ht="48.75" customHeight="1" x14ac:dyDescent="0.25">
      <c r="A9" s="175"/>
      <c r="B9" s="2" t="s">
        <v>18</v>
      </c>
      <c r="C9" s="176"/>
      <c r="D9" s="176"/>
      <c r="E9" s="174"/>
      <c r="F9" s="177"/>
      <c r="G9" s="178"/>
      <c r="H9" s="176"/>
      <c r="I9" s="176"/>
      <c r="J9" s="171"/>
    </row>
    <row r="10" spans="1:10" ht="48.75" customHeight="1" x14ac:dyDescent="0.25">
      <c r="A10" s="175"/>
      <c r="B10" s="2" t="s">
        <v>19</v>
      </c>
      <c r="C10" s="176"/>
      <c r="D10" s="176"/>
      <c r="E10" s="174"/>
      <c r="F10" s="177"/>
      <c r="G10" s="178"/>
      <c r="H10" s="176"/>
      <c r="I10" s="176"/>
      <c r="J10" s="172"/>
    </row>
    <row r="11" spans="1:10" ht="48.75" customHeight="1" x14ac:dyDescent="0.25">
      <c r="A11" s="175" t="s">
        <v>73</v>
      </c>
      <c r="B11" s="2" t="s">
        <v>20</v>
      </c>
      <c r="C11" s="2" t="s">
        <v>60</v>
      </c>
      <c r="D11" s="2" t="s">
        <v>79</v>
      </c>
      <c r="E11" s="3">
        <v>100</v>
      </c>
      <c r="F11" s="4" t="s">
        <v>5</v>
      </c>
      <c r="G11" s="2" t="s">
        <v>49</v>
      </c>
      <c r="H11" s="2" t="s">
        <v>11</v>
      </c>
      <c r="I11" s="5" t="s">
        <v>51</v>
      </c>
      <c r="J11" s="5" t="s">
        <v>67</v>
      </c>
    </row>
    <row r="12" spans="1:10" ht="48.75" customHeight="1" x14ac:dyDescent="0.25">
      <c r="A12" s="175"/>
      <c r="B12" s="2" t="s">
        <v>29</v>
      </c>
      <c r="C12" s="2" t="s">
        <v>37</v>
      </c>
      <c r="D12" s="2" t="s">
        <v>69</v>
      </c>
      <c r="E12" s="3">
        <v>100</v>
      </c>
      <c r="F12" s="4" t="s">
        <v>5</v>
      </c>
      <c r="G12" s="2" t="s">
        <v>49</v>
      </c>
      <c r="H12" s="2" t="s">
        <v>30</v>
      </c>
      <c r="I12" s="5" t="s">
        <v>62</v>
      </c>
      <c r="J12" s="5" t="s">
        <v>67</v>
      </c>
    </row>
    <row r="13" spans="1:10" ht="48.75" customHeight="1" x14ac:dyDescent="0.25">
      <c r="A13" s="175"/>
      <c r="B13" s="2" t="s">
        <v>31</v>
      </c>
      <c r="C13" s="2" t="s">
        <v>38</v>
      </c>
      <c r="D13" s="2" t="s">
        <v>39</v>
      </c>
      <c r="E13" s="3">
        <v>100</v>
      </c>
      <c r="F13" s="4" t="s">
        <v>5</v>
      </c>
      <c r="G13" s="2" t="s">
        <v>49</v>
      </c>
      <c r="H13" s="2" t="s">
        <v>32</v>
      </c>
      <c r="I13" s="5" t="s">
        <v>56</v>
      </c>
      <c r="J13" s="5" t="s">
        <v>67</v>
      </c>
    </row>
    <row r="14" spans="1:10" ht="48.75" customHeight="1" x14ac:dyDescent="0.25">
      <c r="A14" s="168" t="s">
        <v>74</v>
      </c>
      <c r="B14" s="2" t="s">
        <v>21</v>
      </c>
      <c r="C14" s="2" t="s">
        <v>81</v>
      </c>
      <c r="D14" s="2" t="s">
        <v>40</v>
      </c>
      <c r="E14" s="3">
        <v>80</v>
      </c>
      <c r="F14" s="4" t="s">
        <v>5</v>
      </c>
      <c r="G14" s="2" t="s">
        <v>9</v>
      </c>
      <c r="H14" s="2" t="s">
        <v>22</v>
      </c>
      <c r="I14" s="5" t="s">
        <v>52</v>
      </c>
      <c r="J14" s="5" t="s">
        <v>67</v>
      </c>
    </row>
    <row r="15" spans="1:10" ht="48.75" customHeight="1" x14ac:dyDescent="0.25">
      <c r="A15" s="168" t="s">
        <v>75</v>
      </c>
      <c r="B15" s="2" t="s">
        <v>23</v>
      </c>
      <c r="C15" s="2" t="s">
        <v>48</v>
      </c>
      <c r="D15" s="2" t="s">
        <v>41</v>
      </c>
      <c r="E15" s="3">
        <v>16</v>
      </c>
      <c r="F15" s="2" t="s">
        <v>70</v>
      </c>
      <c r="G15" s="2" t="s">
        <v>9</v>
      </c>
      <c r="H15" s="2" t="s">
        <v>24</v>
      </c>
      <c r="I15" s="5" t="s">
        <v>57</v>
      </c>
      <c r="J15" s="5" t="s">
        <v>67</v>
      </c>
    </row>
    <row r="16" spans="1:10" ht="48.75" customHeight="1" x14ac:dyDescent="0.25">
      <c r="A16" s="168" t="s">
        <v>78</v>
      </c>
      <c r="B16" s="2" t="s">
        <v>25</v>
      </c>
      <c r="C16" s="2" t="s">
        <v>42</v>
      </c>
      <c r="D16" s="2" t="s">
        <v>80</v>
      </c>
      <c r="E16" s="3">
        <v>100</v>
      </c>
      <c r="F16" s="4" t="s">
        <v>5</v>
      </c>
      <c r="G16" s="2" t="s">
        <v>9</v>
      </c>
      <c r="H16" s="2" t="s">
        <v>26</v>
      </c>
      <c r="I16" s="5" t="s">
        <v>53</v>
      </c>
      <c r="J16" s="5" t="s">
        <v>67</v>
      </c>
    </row>
    <row r="17" spans="1:10" ht="48.75" customHeight="1" x14ac:dyDescent="0.25">
      <c r="A17" s="175" t="s">
        <v>76</v>
      </c>
      <c r="B17" s="2" t="s">
        <v>54</v>
      </c>
      <c r="C17" s="2" t="s">
        <v>43</v>
      </c>
      <c r="D17" s="2" t="s">
        <v>44</v>
      </c>
      <c r="E17" s="3">
        <v>100</v>
      </c>
      <c r="F17" s="4" t="s">
        <v>5</v>
      </c>
      <c r="G17" s="2" t="s">
        <v>6</v>
      </c>
      <c r="H17" s="2" t="s">
        <v>27</v>
      </c>
      <c r="I17" s="5" t="s">
        <v>68</v>
      </c>
      <c r="J17" s="5" t="s">
        <v>67</v>
      </c>
    </row>
    <row r="18" spans="1:10" ht="48.75" customHeight="1" x14ac:dyDescent="0.25">
      <c r="A18" s="175"/>
      <c r="B18" s="2" t="s">
        <v>28</v>
      </c>
      <c r="C18" s="2" t="s">
        <v>45</v>
      </c>
      <c r="D18" s="2" t="s">
        <v>46</v>
      </c>
      <c r="E18" s="3">
        <v>100</v>
      </c>
      <c r="F18" s="4" t="s">
        <v>5</v>
      </c>
      <c r="G18" s="2" t="s">
        <v>6</v>
      </c>
      <c r="H18" s="2" t="s">
        <v>27</v>
      </c>
      <c r="I18" s="5" t="s">
        <v>55</v>
      </c>
      <c r="J18" s="5" t="s">
        <v>67</v>
      </c>
    </row>
    <row r="19" spans="1:10" ht="48.75" customHeight="1" x14ac:dyDescent="0.25">
      <c r="A19" s="168" t="s">
        <v>77</v>
      </c>
      <c r="B19" s="2" t="s">
        <v>33</v>
      </c>
      <c r="C19" s="2" t="s">
        <v>47</v>
      </c>
      <c r="D19" s="2" t="s">
        <v>69</v>
      </c>
      <c r="E19" s="3">
        <v>100</v>
      </c>
      <c r="F19" s="4" t="s">
        <v>5</v>
      </c>
      <c r="G19" s="2" t="s">
        <v>49</v>
      </c>
      <c r="H19" s="2" t="s">
        <v>10</v>
      </c>
      <c r="I19" s="5" t="s">
        <v>63</v>
      </c>
      <c r="J19" s="5" t="s">
        <v>67</v>
      </c>
    </row>
  </sheetData>
  <mergeCells count="22">
    <mergeCell ref="I8:I10"/>
    <mergeCell ref="F5:F6"/>
    <mergeCell ref="F8:F10"/>
    <mergeCell ref="H5:H6"/>
    <mergeCell ref="H8:H10"/>
    <mergeCell ref="G8:G10"/>
    <mergeCell ref="J5:J6"/>
    <mergeCell ref="J8:J10"/>
    <mergeCell ref="A4:J4"/>
    <mergeCell ref="E8:E10"/>
    <mergeCell ref="A17:A18"/>
    <mergeCell ref="A11:A13"/>
    <mergeCell ref="A8:A10"/>
    <mergeCell ref="C8:C10"/>
    <mergeCell ref="D8:D10"/>
    <mergeCell ref="B5:B6"/>
    <mergeCell ref="C5:C6"/>
    <mergeCell ref="D5:D6"/>
    <mergeCell ref="E5:E6"/>
    <mergeCell ref="A5:A6"/>
    <mergeCell ref="G5:G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5"/>
  <sheetViews>
    <sheetView zoomScale="85" zoomScaleNormal="85" workbookViewId="0">
      <selection activeCell="P3" sqref="P3:P11"/>
    </sheetView>
  </sheetViews>
  <sheetFormatPr baseColWidth="10" defaultRowHeight="15" x14ac:dyDescent="0.25"/>
  <cols>
    <col min="1" max="1" width="45.85546875" customWidth="1"/>
    <col min="2" max="2" width="60.42578125" customWidth="1"/>
    <col min="3" max="3" width="21.28515625" customWidth="1"/>
    <col min="4" max="15" width="19.140625" customWidth="1"/>
  </cols>
  <sheetData>
    <row r="3" spans="1:17" ht="15" customHeight="1" x14ac:dyDescent="0.25">
      <c r="A3" s="179" t="s">
        <v>82</v>
      </c>
      <c r="B3" s="179"/>
      <c r="C3" s="180" t="s">
        <v>83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  <c r="P3" s="186" t="s">
        <v>84</v>
      </c>
    </row>
    <row r="4" spans="1:17" ht="15" customHeight="1" x14ac:dyDescent="0.25">
      <c r="A4" s="179"/>
      <c r="B4" s="179"/>
      <c r="C4" s="183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  <c r="P4" s="187"/>
    </row>
    <row r="5" spans="1:17" ht="15.75" x14ac:dyDescent="0.25">
      <c r="A5" s="189" t="s">
        <v>85</v>
      </c>
      <c r="B5" s="6" t="s">
        <v>86</v>
      </c>
      <c r="C5" s="7" t="s">
        <v>87</v>
      </c>
      <c r="D5" s="190" t="s">
        <v>72</v>
      </c>
      <c r="E5" s="191"/>
      <c r="F5" s="192"/>
      <c r="G5" s="7" t="s">
        <v>88</v>
      </c>
      <c r="H5" s="7" t="s">
        <v>89</v>
      </c>
      <c r="I5" s="7" t="s">
        <v>90</v>
      </c>
      <c r="J5" s="8" t="s">
        <v>91</v>
      </c>
      <c r="K5" s="190" t="s">
        <v>8</v>
      </c>
      <c r="L5" s="192"/>
      <c r="M5" s="190" t="s">
        <v>92</v>
      </c>
      <c r="N5" s="192"/>
      <c r="O5" s="9" t="s">
        <v>93</v>
      </c>
      <c r="P5" s="187"/>
    </row>
    <row r="6" spans="1:17" ht="15" customHeight="1" x14ac:dyDescent="0.25">
      <c r="A6" s="189"/>
      <c r="B6" s="186" t="s">
        <v>94</v>
      </c>
      <c r="C6" s="193" t="s">
        <v>95</v>
      </c>
      <c r="D6" s="196" t="s">
        <v>96</v>
      </c>
      <c r="E6" s="196" t="s">
        <v>97</v>
      </c>
      <c r="F6" s="196" t="s">
        <v>98</v>
      </c>
      <c r="G6" s="196" t="s">
        <v>99</v>
      </c>
      <c r="H6" s="196" t="s">
        <v>100</v>
      </c>
      <c r="I6" s="196" t="s">
        <v>101</v>
      </c>
      <c r="J6" s="196" t="s">
        <v>102</v>
      </c>
      <c r="K6" s="196" t="s">
        <v>103</v>
      </c>
      <c r="L6" s="196" t="s">
        <v>104</v>
      </c>
      <c r="M6" s="196" t="s">
        <v>105</v>
      </c>
      <c r="N6" s="196" t="s">
        <v>106</v>
      </c>
      <c r="O6" s="196" t="s">
        <v>107</v>
      </c>
      <c r="P6" s="187"/>
    </row>
    <row r="7" spans="1:17" ht="15" customHeight="1" x14ac:dyDescent="0.25">
      <c r="A7" s="189"/>
      <c r="B7" s="187"/>
      <c r="C7" s="19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87"/>
    </row>
    <row r="8" spans="1:17" ht="15" customHeight="1" x14ac:dyDescent="0.25">
      <c r="A8" s="189"/>
      <c r="B8" s="187"/>
      <c r="C8" s="194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87"/>
    </row>
    <row r="9" spans="1:17" ht="15" customHeight="1" x14ac:dyDescent="0.25">
      <c r="A9" s="189"/>
      <c r="B9" s="187"/>
      <c r="C9" s="194"/>
      <c r="D9" s="196">
        <v>2</v>
      </c>
      <c r="E9" s="196">
        <v>3</v>
      </c>
      <c r="F9" s="196">
        <v>4</v>
      </c>
      <c r="G9" s="196">
        <v>5</v>
      </c>
      <c r="H9" s="196">
        <v>6</v>
      </c>
      <c r="I9" s="196">
        <v>7</v>
      </c>
      <c r="J9" s="196">
        <v>8</v>
      </c>
      <c r="K9" s="196">
        <v>9</v>
      </c>
      <c r="L9" s="196">
        <v>10</v>
      </c>
      <c r="M9" s="196"/>
      <c r="N9" s="196"/>
      <c r="O9" s="196"/>
      <c r="P9" s="187"/>
    </row>
    <row r="10" spans="1:17" ht="15" customHeight="1" x14ac:dyDescent="0.25">
      <c r="A10" s="189"/>
      <c r="B10" s="187"/>
      <c r="C10" s="194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87"/>
    </row>
    <row r="11" spans="1:17" ht="89.25" customHeight="1" x14ac:dyDescent="0.25">
      <c r="A11" s="183"/>
      <c r="B11" s="188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88"/>
    </row>
    <row r="12" spans="1:17" ht="24" customHeight="1" x14ac:dyDescent="0.3">
      <c r="A12" s="199" t="s">
        <v>12</v>
      </c>
      <c r="B12" s="10" t="s">
        <v>108</v>
      </c>
      <c r="C12" s="11">
        <v>9</v>
      </c>
      <c r="D12" s="11">
        <v>9</v>
      </c>
      <c r="E12" s="11">
        <v>9</v>
      </c>
      <c r="F12" s="11">
        <v>9</v>
      </c>
      <c r="G12" s="11">
        <v>9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9</v>
      </c>
      <c r="N12" s="11">
        <v>9</v>
      </c>
      <c r="O12" s="11">
        <v>3</v>
      </c>
      <c r="P12" s="12">
        <f>+SUM(C12:O12)</f>
        <v>81</v>
      </c>
      <c r="Q12" s="13"/>
    </row>
    <row r="13" spans="1:17" ht="24" customHeight="1" x14ac:dyDescent="0.3">
      <c r="A13" s="199"/>
      <c r="B13" s="14" t="s">
        <v>109</v>
      </c>
      <c r="C13" s="15">
        <v>9</v>
      </c>
      <c r="D13" s="15">
        <v>6</v>
      </c>
      <c r="E13" s="15">
        <v>6</v>
      </c>
      <c r="F13" s="15">
        <v>9</v>
      </c>
      <c r="G13" s="15">
        <v>6</v>
      </c>
      <c r="H13" s="15">
        <v>6</v>
      </c>
      <c r="I13" s="15">
        <v>3</v>
      </c>
      <c r="J13" s="15">
        <v>3</v>
      </c>
      <c r="K13" s="15">
        <v>3</v>
      </c>
      <c r="L13" s="15">
        <v>3</v>
      </c>
      <c r="M13" s="15">
        <v>3</v>
      </c>
      <c r="N13" s="15">
        <v>3</v>
      </c>
      <c r="O13" s="15">
        <v>3</v>
      </c>
      <c r="P13" s="16">
        <f>+SUM(C13:O13)</f>
        <v>63</v>
      </c>
      <c r="Q13" s="13"/>
    </row>
    <row r="14" spans="1:17" ht="24" customHeight="1" x14ac:dyDescent="0.3">
      <c r="A14" s="199"/>
      <c r="B14" s="17" t="s">
        <v>110</v>
      </c>
      <c r="C14" s="18">
        <v>9</v>
      </c>
      <c r="D14" s="18">
        <v>3</v>
      </c>
      <c r="E14" s="18">
        <v>3</v>
      </c>
      <c r="F14" s="18">
        <v>6</v>
      </c>
      <c r="G14" s="18">
        <v>6</v>
      </c>
      <c r="H14" s="18">
        <v>3</v>
      </c>
      <c r="I14" s="18">
        <v>3</v>
      </c>
      <c r="J14" s="18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  <c r="P14" s="19">
        <f t="shared" ref="P14:P36" si="0">+SUM(C14:O14)</f>
        <v>51</v>
      </c>
      <c r="Q14" s="13"/>
    </row>
    <row r="15" spans="1:17" ht="24" customHeight="1" x14ac:dyDescent="0.3">
      <c r="A15" s="20" t="s">
        <v>111</v>
      </c>
      <c r="B15" s="14" t="s">
        <v>112</v>
      </c>
      <c r="C15" s="15">
        <v>9</v>
      </c>
      <c r="D15" s="15">
        <v>9</v>
      </c>
      <c r="E15" s="15">
        <v>9</v>
      </c>
      <c r="F15" s="15">
        <v>9</v>
      </c>
      <c r="G15" s="15">
        <v>9</v>
      </c>
      <c r="H15" s="15">
        <v>3</v>
      </c>
      <c r="I15" s="15">
        <v>6</v>
      </c>
      <c r="J15" s="15">
        <v>3</v>
      </c>
      <c r="K15" s="15">
        <v>9</v>
      </c>
      <c r="L15" s="15">
        <v>9</v>
      </c>
      <c r="M15" s="15">
        <v>1</v>
      </c>
      <c r="N15" s="15">
        <v>1</v>
      </c>
      <c r="O15" s="15">
        <v>9</v>
      </c>
      <c r="P15" s="16">
        <f t="shared" si="0"/>
        <v>86</v>
      </c>
      <c r="Q15" s="13"/>
    </row>
    <row r="16" spans="1:17" ht="24" customHeight="1" x14ac:dyDescent="0.3">
      <c r="A16" s="199" t="s">
        <v>73</v>
      </c>
      <c r="B16" s="17" t="s">
        <v>113</v>
      </c>
      <c r="C16" s="18">
        <v>9</v>
      </c>
      <c r="D16" s="18">
        <v>6</v>
      </c>
      <c r="E16" s="18">
        <v>6</v>
      </c>
      <c r="F16" s="18">
        <v>9</v>
      </c>
      <c r="G16" s="18">
        <v>9</v>
      </c>
      <c r="H16" s="18">
        <v>3</v>
      </c>
      <c r="I16" s="18">
        <v>3</v>
      </c>
      <c r="J16" s="18">
        <v>3</v>
      </c>
      <c r="K16" s="18">
        <v>6</v>
      </c>
      <c r="L16" s="18">
        <v>6</v>
      </c>
      <c r="M16" s="18">
        <v>1</v>
      </c>
      <c r="N16" s="18">
        <v>1</v>
      </c>
      <c r="O16" s="18">
        <v>9</v>
      </c>
      <c r="P16" s="19">
        <f t="shared" si="0"/>
        <v>71</v>
      </c>
      <c r="Q16" s="13"/>
    </row>
    <row r="17" spans="1:17" ht="24" customHeight="1" x14ac:dyDescent="0.3">
      <c r="A17" s="199"/>
      <c r="B17" s="14" t="s">
        <v>114</v>
      </c>
      <c r="C17" s="15">
        <v>9</v>
      </c>
      <c r="D17" s="15">
        <v>6</v>
      </c>
      <c r="E17" s="15">
        <v>6</v>
      </c>
      <c r="F17" s="15">
        <v>9</v>
      </c>
      <c r="G17" s="15">
        <v>9</v>
      </c>
      <c r="H17" s="15">
        <v>3</v>
      </c>
      <c r="I17" s="15">
        <v>3</v>
      </c>
      <c r="J17" s="15">
        <v>3</v>
      </c>
      <c r="K17" s="15">
        <v>6</v>
      </c>
      <c r="L17" s="15">
        <v>6</v>
      </c>
      <c r="M17" s="15">
        <v>1</v>
      </c>
      <c r="N17" s="15">
        <v>1</v>
      </c>
      <c r="O17" s="15">
        <v>9</v>
      </c>
      <c r="P17" s="16">
        <f t="shared" si="0"/>
        <v>71</v>
      </c>
      <c r="Q17" s="13"/>
    </row>
    <row r="18" spans="1:17" ht="24" customHeight="1" x14ac:dyDescent="0.3">
      <c r="A18" s="199"/>
      <c r="B18" s="17" t="s">
        <v>115</v>
      </c>
      <c r="C18" s="18">
        <v>9</v>
      </c>
      <c r="D18" s="18">
        <v>6</v>
      </c>
      <c r="E18" s="18">
        <v>6</v>
      </c>
      <c r="F18" s="18">
        <v>9</v>
      </c>
      <c r="G18" s="18">
        <v>9</v>
      </c>
      <c r="H18" s="18">
        <v>9</v>
      </c>
      <c r="I18" s="18">
        <v>9</v>
      </c>
      <c r="J18" s="18">
        <v>9</v>
      </c>
      <c r="K18" s="18">
        <v>6</v>
      </c>
      <c r="L18" s="18">
        <v>6</v>
      </c>
      <c r="M18" s="18">
        <v>6</v>
      </c>
      <c r="N18" s="18">
        <v>6</v>
      </c>
      <c r="O18" s="18">
        <v>9</v>
      </c>
      <c r="P18" s="21">
        <f t="shared" si="0"/>
        <v>99</v>
      </c>
      <c r="Q18" s="13"/>
    </row>
    <row r="19" spans="1:17" ht="24" customHeight="1" x14ac:dyDescent="0.3">
      <c r="A19" s="199"/>
      <c r="B19" s="14" t="s">
        <v>116</v>
      </c>
      <c r="C19" s="15">
        <v>9</v>
      </c>
      <c r="D19" s="15">
        <v>6</v>
      </c>
      <c r="E19" s="15">
        <v>6</v>
      </c>
      <c r="F19" s="15">
        <v>9</v>
      </c>
      <c r="G19" s="15">
        <v>9</v>
      </c>
      <c r="H19" s="15">
        <v>9</v>
      </c>
      <c r="I19" s="15">
        <v>9</v>
      </c>
      <c r="J19" s="15">
        <v>9</v>
      </c>
      <c r="K19" s="15">
        <v>6</v>
      </c>
      <c r="L19" s="15">
        <v>6</v>
      </c>
      <c r="M19" s="15">
        <v>6</v>
      </c>
      <c r="N19" s="15">
        <v>6</v>
      </c>
      <c r="O19" s="15">
        <v>9</v>
      </c>
      <c r="P19" s="22">
        <f t="shared" si="0"/>
        <v>99</v>
      </c>
      <c r="Q19" s="13"/>
    </row>
    <row r="20" spans="1:17" ht="24" customHeight="1" x14ac:dyDescent="0.3">
      <c r="A20" s="200" t="s">
        <v>72</v>
      </c>
      <c r="B20" s="17" t="s">
        <v>117</v>
      </c>
      <c r="C20" s="18">
        <v>9</v>
      </c>
      <c r="D20" s="18">
        <v>9</v>
      </c>
      <c r="E20" s="18">
        <v>9</v>
      </c>
      <c r="F20" s="18">
        <v>9</v>
      </c>
      <c r="G20" s="18">
        <v>9</v>
      </c>
      <c r="H20" s="18">
        <v>3</v>
      </c>
      <c r="I20" s="18">
        <v>9</v>
      </c>
      <c r="J20" s="18">
        <v>6</v>
      </c>
      <c r="K20" s="18">
        <v>6</v>
      </c>
      <c r="L20" s="18">
        <v>6</v>
      </c>
      <c r="M20" s="18">
        <v>9</v>
      </c>
      <c r="N20" s="18">
        <v>9</v>
      </c>
      <c r="O20" s="18">
        <v>9</v>
      </c>
      <c r="P20" s="21">
        <f t="shared" si="0"/>
        <v>102</v>
      </c>
      <c r="Q20" s="13"/>
    </row>
    <row r="21" spans="1:17" ht="24" customHeight="1" x14ac:dyDescent="0.3">
      <c r="A21" s="201"/>
      <c r="B21" s="14" t="s">
        <v>118</v>
      </c>
      <c r="C21" s="15">
        <v>9</v>
      </c>
      <c r="D21" s="15">
        <v>9</v>
      </c>
      <c r="E21" s="15">
        <v>9</v>
      </c>
      <c r="F21" s="15">
        <v>6</v>
      </c>
      <c r="G21" s="15">
        <v>3</v>
      </c>
      <c r="H21" s="15">
        <v>3</v>
      </c>
      <c r="I21" s="15">
        <v>3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6">
        <f t="shared" si="0"/>
        <v>48</v>
      </c>
      <c r="Q21" s="13"/>
    </row>
    <row r="22" spans="1:17" ht="24" customHeight="1" x14ac:dyDescent="0.3">
      <c r="A22" s="20" t="s">
        <v>119</v>
      </c>
      <c r="B22" s="17" t="s">
        <v>112</v>
      </c>
      <c r="C22" s="18">
        <v>9</v>
      </c>
      <c r="D22" s="18">
        <v>9</v>
      </c>
      <c r="E22" s="18">
        <v>9</v>
      </c>
      <c r="F22" s="18">
        <v>1</v>
      </c>
      <c r="G22" s="18">
        <v>9</v>
      </c>
      <c r="H22" s="18">
        <v>1</v>
      </c>
      <c r="I22" s="18">
        <v>3</v>
      </c>
      <c r="J22" s="18">
        <v>6</v>
      </c>
      <c r="K22" s="18">
        <v>9</v>
      </c>
      <c r="L22" s="18">
        <v>9</v>
      </c>
      <c r="M22" s="18">
        <v>9</v>
      </c>
      <c r="N22" s="18">
        <v>9</v>
      </c>
      <c r="O22" s="18">
        <v>1</v>
      </c>
      <c r="P22" s="19">
        <f t="shared" si="0"/>
        <v>84</v>
      </c>
      <c r="Q22" s="13"/>
    </row>
    <row r="23" spans="1:17" ht="24" customHeight="1" x14ac:dyDescent="0.3">
      <c r="A23" s="199" t="s">
        <v>76</v>
      </c>
      <c r="B23" s="14" t="s">
        <v>120</v>
      </c>
      <c r="C23" s="15">
        <v>9</v>
      </c>
      <c r="D23" s="15">
        <v>6</v>
      </c>
      <c r="E23" s="15">
        <v>6</v>
      </c>
      <c r="F23" s="15">
        <v>6</v>
      </c>
      <c r="G23" s="15">
        <v>6</v>
      </c>
      <c r="H23" s="15">
        <v>6</v>
      </c>
      <c r="I23" s="15">
        <v>3</v>
      </c>
      <c r="J23" s="15">
        <v>9</v>
      </c>
      <c r="K23" s="15">
        <v>9</v>
      </c>
      <c r="L23" s="15">
        <v>9</v>
      </c>
      <c r="M23" s="15">
        <v>1</v>
      </c>
      <c r="N23" s="15">
        <v>1</v>
      </c>
      <c r="O23" s="15">
        <v>9</v>
      </c>
      <c r="P23" s="16">
        <f t="shared" si="0"/>
        <v>80</v>
      </c>
      <c r="Q23" s="13"/>
    </row>
    <row r="24" spans="1:17" ht="24" customHeight="1" x14ac:dyDescent="0.3">
      <c r="A24" s="199"/>
      <c r="B24" s="17" t="s">
        <v>121</v>
      </c>
      <c r="C24" s="18">
        <v>9</v>
      </c>
      <c r="D24" s="18">
        <v>9</v>
      </c>
      <c r="E24" s="18">
        <v>9</v>
      </c>
      <c r="F24" s="18">
        <v>6</v>
      </c>
      <c r="G24" s="18">
        <v>6</v>
      </c>
      <c r="H24" s="18">
        <v>1</v>
      </c>
      <c r="I24" s="18">
        <v>3</v>
      </c>
      <c r="J24" s="18">
        <v>6</v>
      </c>
      <c r="K24" s="18">
        <v>9</v>
      </c>
      <c r="L24" s="18">
        <v>9</v>
      </c>
      <c r="M24" s="18">
        <v>1</v>
      </c>
      <c r="N24" s="18">
        <v>1</v>
      </c>
      <c r="O24" s="18">
        <v>9</v>
      </c>
      <c r="P24" s="19">
        <f t="shared" si="0"/>
        <v>78</v>
      </c>
      <c r="Q24" s="13"/>
    </row>
    <row r="25" spans="1:17" ht="24" customHeight="1" x14ac:dyDescent="0.3">
      <c r="A25" s="199"/>
      <c r="B25" s="14" t="s">
        <v>122</v>
      </c>
      <c r="C25" s="15">
        <v>9</v>
      </c>
      <c r="D25" s="15">
        <v>9</v>
      </c>
      <c r="E25" s="15">
        <v>9</v>
      </c>
      <c r="F25" s="15">
        <v>6</v>
      </c>
      <c r="G25" s="15">
        <v>3</v>
      </c>
      <c r="H25" s="15">
        <v>1</v>
      </c>
      <c r="I25" s="15">
        <v>3</v>
      </c>
      <c r="J25" s="15">
        <v>1</v>
      </c>
      <c r="K25" s="15">
        <v>6</v>
      </c>
      <c r="L25" s="15">
        <v>6</v>
      </c>
      <c r="M25" s="15">
        <v>9</v>
      </c>
      <c r="N25" s="15">
        <v>9</v>
      </c>
      <c r="O25" s="15">
        <v>1</v>
      </c>
      <c r="P25" s="16">
        <f t="shared" si="0"/>
        <v>72</v>
      </c>
      <c r="Q25" s="13"/>
    </row>
    <row r="26" spans="1:17" ht="24" customHeight="1" x14ac:dyDescent="0.3">
      <c r="A26" s="202" t="s">
        <v>75</v>
      </c>
      <c r="B26" s="17" t="s">
        <v>123</v>
      </c>
      <c r="C26" s="18">
        <v>9</v>
      </c>
      <c r="D26" s="18">
        <v>3</v>
      </c>
      <c r="E26" s="18">
        <v>3</v>
      </c>
      <c r="F26" s="18">
        <v>3</v>
      </c>
      <c r="G26" s="18">
        <v>6</v>
      </c>
      <c r="H26" s="18">
        <v>6</v>
      </c>
      <c r="I26" s="18">
        <v>3</v>
      </c>
      <c r="J26" s="18">
        <v>3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9">
        <f t="shared" si="0"/>
        <v>41</v>
      </c>
      <c r="Q26" s="13"/>
    </row>
    <row r="27" spans="1:17" ht="24" customHeight="1" x14ac:dyDescent="0.3">
      <c r="A27" s="202"/>
      <c r="B27" s="14" t="s">
        <v>124</v>
      </c>
      <c r="C27" s="15">
        <v>9</v>
      </c>
      <c r="D27" s="15">
        <v>3</v>
      </c>
      <c r="E27" s="15">
        <v>3</v>
      </c>
      <c r="F27" s="15">
        <v>3</v>
      </c>
      <c r="G27" s="15">
        <v>6</v>
      </c>
      <c r="H27" s="15">
        <v>3</v>
      </c>
      <c r="I27" s="15">
        <v>3</v>
      </c>
      <c r="J27" s="15">
        <v>3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6">
        <f t="shared" si="0"/>
        <v>38</v>
      </c>
      <c r="Q27" s="13"/>
    </row>
    <row r="28" spans="1:17" ht="24" customHeight="1" x14ac:dyDescent="0.3">
      <c r="A28" s="202" t="s">
        <v>78</v>
      </c>
      <c r="B28" s="17" t="s">
        <v>125</v>
      </c>
      <c r="C28" s="18">
        <v>9</v>
      </c>
      <c r="D28" s="18">
        <v>6</v>
      </c>
      <c r="E28" s="18">
        <v>6</v>
      </c>
      <c r="F28" s="18">
        <v>6</v>
      </c>
      <c r="G28" s="18">
        <v>9</v>
      </c>
      <c r="H28" s="18">
        <v>9</v>
      </c>
      <c r="I28" s="18">
        <v>9</v>
      </c>
      <c r="J28" s="18">
        <v>9</v>
      </c>
      <c r="K28" s="18">
        <v>6</v>
      </c>
      <c r="L28" s="18">
        <v>6</v>
      </c>
      <c r="M28" s="18">
        <v>1</v>
      </c>
      <c r="N28" s="18">
        <v>1</v>
      </c>
      <c r="O28" s="18">
        <v>3</v>
      </c>
      <c r="P28" s="19">
        <f t="shared" si="0"/>
        <v>80</v>
      </c>
      <c r="Q28" s="13"/>
    </row>
    <row r="29" spans="1:17" ht="24" customHeight="1" x14ac:dyDescent="0.3">
      <c r="A29" s="202"/>
      <c r="B29" s="14" t="s">
        <v>126</v>
      </c>
      <c r="C29" s="15">
        <v>9</v>
      </c>
      <c r="D29" s="15">
        <v>6</v>
      </c>
      <c r="E29" s="15">
        <v>6</v>
      </c>
      <c r="F29" s="15">
        <v>6</v>
      </c>
      <c r="G29" s="15">
        <v>9</v>
      </c>
      <c r="H29" s="15">
        <v>9</v>
      </c>
      <c r="I29" s="15">
        <v>9</v>
      </c>
      <c r="J29" s="15">
        <v>9</v>
      </c>
      <c r="K29" s="15">
        <v>6</v>
      </c>
      <c r="L29" s="15">
        <v>6</v>
      </c>
      <c r="M29" s="15">
        <v>1</v>
      </c>
      <c r="N29" s="15">
        <v>1</v>
      </c>
      <c r="O29" s="15">
        <v>3</v>
      </c>
      <c r="P29" s="16">
        <f t="shared" si="0"/>
        <v>80</v>
      </c>
      <c r="Q29" s="13"/>
    </row>
    <row r="30" spans="1:17" ht="24" customHeight="1" x14ac:dyDescent="0.3">
      <c r="A30" s="20" t="s">
        <v>7</v>
      </c>
      <c r="B30" s="17" t="s">
        <v>112</v>
      </c>
      <c r="C30" s="18">
        <v>9</v>
      </c>
      <c r="D30" s="18">
        <v>9</v>
      </c>
      <c r="E30" s="18">
        <v>9</v>
      </c>
      <c r="F30" s="18">
        <v>6</v>
      </c>
      <c r="G30" s="18">
        <v>9</v>
      </c>
      <c r="H30" s="18">
        <v>3</v>
      </c>
      <c r="I30" s="18">
        <v>9</v>
      </c>
      <c r="J30" s="18">
        <v>6</v>
      </c>
      <c r="K30" s="18">
        <v>9</v>
      </c>
      <c r="L30" s="18">
        <v>9</v>
      </c>
      <c r="M30" s="18">
        <v>6</v>
      </c>
      <c r="N30" s="18">
        <v>6</v>
      </c>
      <c r="O30" s="18">
        <v>6</v>
      </c>
      <c r="P30" s="19">
        <f t="shared" si="0"/>
        <v>96</v>
      </c>
      <c r="Q30" s="13"/>
    </row>
    <row r="31" spans="1:17" ht="24" customHeight="1" x14ac:dyDescent="0.3">
      <c r="A31" s="197" t="s">
        <v>74</v>
      </c>
      <c r="B31" s="23" t="s">
        <v>127</v>
      </c>
      <c r="C31" s="24">
        <v>9</v>
      </c>
      <c r="D31" s="24">
        <v>1</v>
      </c>
      <c r="E31" s="24">
        <v>1</v>
      </c>
      <c r="F31" s="24">
        <v>3</v>
      </c>
      <c r="G31" s="24">
        <v>6</v>
      </c>
      <c r="H31" s="24">
        <v>9</v>
      </c>
      <c r="I31" s="24">
        <v>9</v>
      </c>
      <c r="J31" s="24">
        <v>9</v>
      </c>
      <c r="K31" s="24">
        <v>6</v>
      </c>
      <c r="L31" s="24">
        <v>6</v>
      </c>
      <c r="M31" s="24">
        <v>1</v>
      </c>
      <c r="N31" s="24">
        <v>1</v>
      </c>
      <c r="O31" s="24">
        <v>3</v>
      </c>
      <c r="P31" s="25">
        <f t="shared" si="0"/>
        <v>64</v>
      </c>
      <c r="Q31" s="13"/>
    </row>
    <row r="32" spans="1:17" ht="24" customHeight="1" x14ac:dyDescent="0.3">
      <c r="A32" s="198"/>
      <c r="B32" s="17" t="s">
        <v>128</v>
      </c>
      <c r="C32" s="18">
        <v>9</v>
      </c>
      <c r="D32" s="18">
        <v>1</v>
      </c>
      <c r="E32" s="18">
        <v>1</v>
      </c>
      <c r="F32" s="18">
        <v>3</v>
      </c>
      <c r="G32" s="18">
        <v>6</v>
      </c>
      <c r="H32" s="18">
        <v>9</v>
      </c>
      <c r="I32" s="18">
        <v>9</v>
      </c>
      <c r="J32" s="18">
        <v>9</v>
      </c>
      <c r="K32" s="18">
        <v>6</v>
      </c>
      <c r="L32" s="18">
        <v>6</v>
      </c>
      <c r="M32" s="18">
        <v>1</v>
      </c>
      <c r="N32" s="18">
        <v>1</v>
      </c>
      <c r="O32" s="18">
        <v>3</v>
      </c>
      <c r="P32" s="19">
        <f t="shared" si="0"/>
        <v>64</v>
      </c>
      <c r="Q32" s="13"/>
    </row>
    <row r="33" spans="1:17" ht="24" customHeight="1" x14ac:dyDescent="0.3">
      <c r="A33" s="199" t="s">
        <v>129</v>
      </c>
      <c r="B33" s="23" t="s">
        <v>130</v>
      </c>
      <c r="C33" s="24">
        <v>9</v>
      </c>
      <c r="D33" s="24">
        <v>3</v>
      </c>
      <c r="E33" s="24">
        <v>3</v>
      </c>
      <c r="F33" s="24">
        <v>3</v>
      </c>
      <c r="G33" s="24">
        <v>3</v>
      </c>
      <c r="H33" s="24">
        <v>1</v>
      </c>
      <c r="I33" s="24">
        <v>6</v>
      </c>
      <c r="J33" s="24">
        <v>3</v>
      </c>
      <c r="K33" s="24">
        <v>9</v>
      </c>
      <c r="L33" s="24">
        <v>9</v>
      </c>
      <c r="M33" s="24">
        <v>1</v>
      </c>
      <c r="N33" s="24">
        <v>1</v>
      </c>
      <c r="O33" s="24">
        <v>6</v>
      </c>
      <c r="P33" s="25">
        <f t="shared" si="0"/>
        <v>57</v>
      </c>
      <c r="Q33" s="13"/>
    </row>
    <row r="34" spans="1:17" ht="24" customHeight="1" x14ac:dyDescent="0.3">
      <c r="A34" s="199"/>
      <c r="B34" s="17" t="s">
        <v>131</v>
      </c>
      <c r="C34" s="18">
        <v>9</v>
      </c>
      <c r="D34" s="18">
        <v>3</v>
      </c>
      <c r="E34" s="18">
        <v>3</v>
      </c>
      <c r="F34" s="18">
        <v>3</v>
      </c>
      <c r="G34" s="18">
        <v>3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9">
        <f t="shared" si="0"/>
        <v>29</v>
      </c>
      <c r="Q34" s="13"/>
    </row>
    <row r="35" spans="1:17" ht="24" customHeight="1" x14ac:dyDescent="0.3">
      <c r="A35" s="199"/>
      <c r="B35" s="26" t="s">
        <v>132</v>
      </c>
      <c r="C35" s="27">
        <v>9</v>
      </c>
      <c r="D35" s="27">
        <v>3</v>
      </c>
      <c r="E35" s="27">
        <v>3</v>
      </c>
      <c r="F35" s="27">
        <v>3</v>
      </c>
      <c r="G35" s="27">
        <v>3</v>
      </c>
      <c r="H35" s="27">
        <v>1</v>
      </c>
      <c r="I35" s="27">
        <v>1</v>
      </c>
      <c r="J35" s="27">
        <v>1</v>
      </c>
      <c r="K35" s="27">
        <v>1</v>
      </c>
      <c r="L35" s="27">
        <v>1</v>
      </c>
      <c r="M35" s="27">
        <v>1</v>
      </c>
      <c r="N35" s="27">
        <v>1</v>
      </c>
      <c r="O35" s="27">
        <v>1</v>
      </c>
      <c r="P35" s="28">
        <f t="shared" si="0"/>
        <v>29</v>
      </c>
      <c r="Q35" s="13"/>
    </row>
    <row r="36" spans="1:17" ht="24" customHeight="1" x14ac:dyDescent="0.3">
      <c r="A36" s="199"/>
      <c r="B36" s="29" t="s">
        <v>133</v>
      </c>
      <c r="C36" s="30">
        <v>9</v>
      </c>
      <c r="D36" s="30">
        <v>3</v>
      </c>
      <c r="E36" s="30">
        <v>3</v>
      </c>
      <c r="F36" s="30">
        <v>3</v>
      </c>
      <c r="G36" s="30">
        <v>3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>
        <v>1</v>
      </c>
      <c r="N36" s="30">
        <v>1</v>
      </c>
      <c r="O36" s="30">
        <v>1</v>
      </c>
      <c r="P36" s="31">
        <f t="shared" si="0"/>
        <v>29</v>
      </c>
      <c r="Q36" s="13"/>
    </row>
    <row r="37" spans="1:17" x14ac:dyDescent="0.25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5"/>
      <c r="P37" s="32">
        <f>SUM(P12:P36)</f>
        <v>1692</v>
      </c>
      <c r="Q37" s="33"/>
    </row>
    <row r="38" spans="1:17" x14ac:dyDescent="0.25">
      <c r="A38" s="206"/>
      <c r="B38" s="207"/>
      <c r="C38" s="207"/>
      <c r="D38" s="207"/>
      <c r="E38" s="212" t="s">
        <v>134</v>
      </c>
      <c r="F38" s="213"/>
      <c r="G38" s="213"/>
      <c r="H38" s="213"/>
      <c r="I38" s="214"/>
      <c r="J38" s="207"/>
      <c r="K38" s="207"/>
      <c r="L38" s="207"/>
      <c r="M38" s="207"/>
      <c r="N38" s="207"/>
      <c r="O38" s="207"/>
      <c r="P38" s="215"/>
      <c r="Q38" s="33"/>
    </row>
    <row r="39" spans="1:17" ht="15" customHeight="1" x14ac:dyDescent="0.25">
      <c r="A39" s="208"/>
      <c r="B39" s="209"/>
      <c r="C39" s="209"/>
      <c r="D39" s="209"/>
      <c r="E39" s="218" t="s">
        <v>135</v>
      </c>
      <c r="F39" s="219"/>
      <c r="G39" s="219"/>
      <c r="H39" s="219"/>
      <c r="I39" s="220"/>
      <c r="J39" s="209"/>
      <c r="K39" s="209"/>
      <c r="L39" s="209"/>
      <c r="M39" s="209"/>
      <c r="N39" s="209"/>
      <c r="O39" s="209"/>
      <c r="P39" s="216"/>
    </row>
    <row r="40" spans="1:17" x14ac:dyDescent="0.25">
      <c r="A40" s="208"/>
      <c r="B40" s="209"/>
      <c r="C40" s="209"/>
      <c r="D40" s="209"/>
      <c r="E40" s="218"/>
      <c r="F40" s="219"/>
      <c r="G40" s="219"/>
      <c r="H40" s="219"/>
      <c r="I40" s="220"/>
      <c r="J40" s="209"/>
      <c r="K40" s="209"/>
      <c r="L40" s="209"/>
      <c r="M40" s="209"/>
      <c r="N40" s="209"/>
      <c r="O40" s="209"/>
      <c r="P40" s="216"/>
    </row>
    <row r="41" spans="1:17" x14ac:dyDescent="0.25">
      <c r="A41" s="208"/>
      <c r="B41" s="209"/>
      <c r="C41" s="209"/>
      <c r="D41" s="209"/>
      <c r="E41" s="218"/>
      <c r="F41" s="219"/>
      <c r="G41" s="219"/>
      <c r="H41" s="219"/>
      <c r="I41" s="220"/>
      <c r="J41" s="209"/>
      <c r="K41" s="209"/>
      <c r="L41" s="209"/>
      <c r="M41" s="209"/>
      <c r="N41" s="209"/>
      <c r="O41" s="209"/>
      <c r="P41" s="216"/>
    </row>
    <row r="42" spans="1:17" x14ac:dyDescent="0.25">
      <c r="A42" s="208"/>
      <c r="B42" s="209"/>
      <c r="C42" s="209"/>
      <c r="D42" s="209"/>
      <c r="E42" s="218"/>
      <c r="F42" s="219"/>
      <c r="G42" s="219"/>
      <c r="H42" s="219"/>
      <c r="I42" s="220"/>
      <c r="J42" s="209"/>
      <c r="K42" s="209"/>
      <c r="L42" s="209"/>
      <c r="M42" s="209"/>
      <c r="N42" s="209"/>
      <c r="O42" s="209"/>
      <c r="P42" s="216"/>
    </row>
    <row r="43" spans="1:17" x14ac:dyDescent="0.25">
      <c r="A43" s="210"/>
      <c r="B43" s="211"/>
      <c r="C43" s="211"/>
      <c r="D43" s="211"/>
      <c r="E43" s="221"/>
      <c r="F43" s="222"/>
      <c r="G43" s="222"/>
      <c r="H43" s="222"/>
      <c r="I43" s="223"/>
      <c r="J43" s="211"/>
      <c r="K43" s="211"/>
      <c r="L43" s="211"/>
      <c r="M43" s="211"/>
      <c r="N43" s="211"/>
      <c r="O43" s="211"/>
      <c r="P43" s="217"/>
    </row>
    <row r="44" spans="1:17" x14ac:dyDescent="0.25">
      <c r="B44" s="13"/>
      <c r="C44" s="13"/>
      <c r="E44" s="34"/>
      <c r="F44" s="34"/>
      <c r="G44" s="34"/>
      <c r="H44" s="34"/>
    </row>
    <row r="45" spans="1:17" x14ac:dyDescent="0.25">
      <c r="B45" s="13"/>
      <c r="C45" s="13"/>
    </row>
    <row r="46" spans="1:17" ht="23.25" x14ac:dyDescent="0.35">
      <c r="M46" s="35"/>
    </row>
    <row r="49" spans="4:7" ht="18.75" x14ac:dyDescent="0.3">
      <c r="D49" s="36" t="s">
        <v>136</v>
      </c>
      <c r="E49" s="36" t="s">
        <v>137</v>
      </c>
      <c r="F49" s="36" t="s">
        <v>138</v>
      </c>
      <c r="G49" s="36" t="s">
        <v>5</v>
      </c>
    </row>
    <row r="50" spans="4:7" ht="18.75" x14ac:dyDescent="0.3">
      <c r="D50" s="37" t="s">
        <v>117</v>
      </c>
      <c r="E50" s="38">
        <v>102</v>
      </c>
      <c r="F50" s="39">
        <f>+G50</f>
        <v>6.0283687943262407</v>
      </c>
      <c r="G50" s="39">
        <f>(+E50/$E75)*100</f>
        <v>6.0283687943262407</v>
      </c>
    </row>
    <row r="51" spans="4:7" ht="18.75" x14ac:dyDescent="0.3">
      <c r="D51" s="36" t="s">
        <v>139</v>
      </c>
      <c r="E51" s="40">
        <v>99</v>
      </c>
      <c r="F51" s="41">
        <f>+G51+F50</f>
        <v>11.879432624113475</v>
      </c>
      <c r="G51" s="41">
        <f t="shared" ref="G51:G74" si="1">(+E51/$E$75)*100</f>
        <v>5.8510638297872344</v>
      </c>
    </row>
    <row r="52" spans="4:7" ht="18.75" x14ac:dyDescent="0.3">
      <c r="D52" s="37" t="s">
        <v>140</v>
      </c>
      <c r="E52" s="38">
        <v>99</v>
      </c>
      <c r="F52" s="39">
        <f t="shared" ref="F52:F74" si="2">+G52+F51</f>
        <v>17.730496453900709</v>
      </c>
      <c r="G52" s="39">
        <f t="shared" si="1"/>
        <v>5.8510638297872344</v>
      </c>
    </row>
    <row r="53" spans="4:7" ht="18.75" x14ac:dyDescent="0.3">
      <c r="D53" s="36" t="s">
        <v>141</v>
      </c>
      <c r="E53" s="40">
        <v>96</v>
      </c>
      <c r="F53" s="41">
        <f t="shared" si="2"/>
        <v>23.404255319148938</v>
      </c>
      <c r="G53" s="41">
        <f t="shared" si="1"/>
        <v>5.6737588652482271</v>
      </c>
    </row>
    <row r="54" spans="4:7" ht="18.75" x14ac:dyDescent="0.3">
      <c r="D54" s="37" t="s">
        <v>142</v>
      </c>
      <c r="E54" s="38">
        <v>86</v>
      </c>
      <c r="F54" s="39">
        <f t="shared" si="2"/>
        <v>28.486997635933808</v>
      </c>
      <c r="G54" s="39">
        <f t="shared" si="1"/>
        <v>5.08274231678487</v>
      </c>
    </row>
    <row r="55" spans="4:7" ht="18.75" x14ac:dyDescent="0.3">
      <c r="D55" s="36" t="s">
        <v>143</v>
      </c>
      <c r="E55" s="40">
        <v>84</v>
      </c>
      <c r="F55" s="41">
        <f t="shared" si="2"/>
        <v>33.451536643026003</v>
      </c>
      <c r="G55" s="41">
        <f t="shared" si="1"/>
        <v>4.9645390070921991</v>
      </c>
    </row>
    <row r="56" spans="4:7" ht="18.75" x14ac:dyDescent="0.3">
      <c r="D56" s="37" t="s">
        <v>108</v>
      </c>
      <c r="E56" s="38">
        <v>81</v>
      </c>
      <c r="F56" s="39">
        <f t="shared" si="2"/>
        <v>38.238770685579198</v>
      </c>
      <c r="G56" s="39">
        <f t="shared" si="1"/>
        <v>4.7872340425531918</v>
      </c>
    </row>
    <row r="57" spans="4:7" ht="18.75" x14ac:dyDescent="0.3">
      <c r="D57" s="36" t="s">
        <v>120</v>
      </c>
      <c r="E57" s="40">
        <v>80</v>
      </c>
      <c r="F57" s="41">
        <f t="shared" si="2"/>
        <v>42.966903073286055</v>
      </c>
      <c r="G57" s="41">
        <f t="shared" si="1"/>
        <v>4.7281323877068555</v>
      </c>
    </row>
    <row r="58" spans="4:7" ht="18.75" x14ac:dyDescent="0.3">
      <c r="D58" s="37" t="s">
        <v>125</v>
      </c>
      <c r="E58" s="38">
        <v>80</v>
      </c>
      <c r="F58" s="39">
        <f t="shared" si="2"/>
        <v>47.695035460992912</v>
      </c>
      <c r="G58" s="39">
        <f t="shared" si="1"/>
        <v>4.7281323877068555</v>
      </c>
    </row>
    <row r="59" spans="4:7" ht="18.75" x14ac:dyDescent="0.3">
      <c r="D59" s="36" t="s">
        <v>126</v>
      </c>
      <c r="E59" s="40">
        <v>80</v>
      </c>
      <c r="F59" s="41">
        <f t="shared" si="2"/>
        <v>52.423167848699769</v>
      </c>
      <c r="G59" s="41">
        <f t="shared" si="1"/>
        <v>4.7281323877068555</v>
      </c>
    </row>
    <row r="60" spans="4:7" ht="18.75" x14ac:dyDescent="0.3">
      <c r="D60" s="37" t="s">
        <v>121</v>
      </c>
      <c r="E60" s="38">
        <v>78</v>
      </c>
      <c r="F60" s="39">
        <f t="shared" si="2"/>
        <v>57.033096926713952</v>
      </c>
      <c r="G60" s="39">
        <f t="shared" si="1"/>
        <v>4.6099290780141837</v>
      </c>
    </row>
    <row r="61" spans="4:7" ht="18.75" x14ac:dyDescent="0.3">
      <c r="D61" s="36" t="s">
        <v>122</v>
      </c>
      <c r="E61" s="40">
        <v>72</v>
      </c>
      <c r="F61" s="41">
        <f t="shared" si="2"/>
        <v>61.288416075650119</v>
      </c>
      <c r="G61" s="41">
        <f t="shared" si="1"/>
        <v>4.2553191489361701</v>
      </c>
    </row>
    <row r="62" spans="4:7" ht="18.75" x14ac:dyDescent="0.3">
      <c r="D62" s="37" t="s">
        <v>144</v>
      </c>
      <c r="E62" s="38">
        <v>71</v>
      </c>
      <c r="F62" s="39">
        <f t="shared" si="2"/>
        <v>65.484633569739955</v>
      </c>
      <c r="G62" s="39">
        <f t="shared" si="1"/>
        <v>4.1962174940898347</v>
      </c>
    </row>
    <row r="63" spans="4:7" ht="18.75" x14ac:dyDescent="0.3">
      <c r="D63" s="36" t="s">
        <v>145</v>
      </c>
      <c r="E63" s="40">
        <v>71</v>
      </c>
      <c r="F63" s="41">
        <f t="shared" si="2"/>
        <v>69.680851063829792</v>
      </c>
      <c r="G63" s="41">
        <f t="shared" si="1"/>
        <v>4.1962174940898347</v>
      </c>
    </row>
    <row r="64" spans="4:7" ht="18.75" x14ac:dyDescent="0.3">
      <c r="D64" s="37" t="s">
        <v>146</v>
      </c>
      <c r="E64" s="38">
        <v>64</v>
      </c>
      <c r="F64" s="39">
        <f t="shared" si="2"/>
        <v>73.463356973995275</v>
      </c>
      <c r="G64" s="39">
        <f t="shared" si="1"/>
        <v>3.7825059101654848</v>
      </c>
    </row>
    <row r="65" spans="4:7" ht="18.75" x14ac:dyDescent="0.3">
      <c r="D65" s="36" t="s">
        <v>128</v>
      </c>
      <c r="E65" s="40">
        <v>64</v>
      </c>
      <c r="F65" s="41">
        <f t="shared" si="2"/>
        <v>77.245862884160758</v>
      </c>
      <c r="G65" s="41">
        <f t="shared" si="1"/>
        <v>3.7825059101654848</v>
      </c>
    </row>
    <row r="66" spans="4:7" ht="18.75" x14ac:dyDescent="0.3">
      <c r="D66" s="37" t="s">
        <v>109</v>
      </c>
      <c r="E66" s="38">
        <v>63</v>
      </c>
      <c r="F66" s="39">
        <f t="shared" si="2"/>
        <v>80.969267139479911</v>
      </c>
      <c r="G66" s="39">
        <f t="shared" si="1"/>
        <v>3.7234042553191489</v>
      </c>
    </row>
    <row r="67" spans="4:7" ht="18.75" x14ac:dyDescent="0.3">
      <c r="D67" s="36" t="s">
        <v>147</v>
      </c>
      <c r="E67" s="40">
        <v>57</v>
      </c>
      <c r="F67" s="41">
        <f t="shared" si="2"/>
        <v>84.33806146572104</v>
      </c>
      <c r="G67" s="41">
        <f t="shared" si="1"/>
        <v>3.3687943262411348</v>
      </c>
    </row>
    <row r="68" spans="4:7" ht="18.75" x14ac:dyDescent="0.3">
      <c r="D68" s="37" t="s">
        <v>110</v>
      </c>
      <c r="E68" s="38">
        <v>51</v>
      </c>
      <c r="F68" s="39">
        <f t="shared" si="2"/>
        <v>87.35224586288416</v>
      </c>
      <c r="G68" s="39">
        <f t="shared" si="1"/>
        <v>3.0141843971631204</v>
      </c>
    </row>
    <row r="69" spans="4:7" ht="18.75" x14ac:dyDescent="0.3">
      <c r="D69" s="36" t="s">
        <v>118</v>
      </c>
      <c r="E69" s="40">
        <v>48</v>
      </c>
      <c r="F69" s="41">
        <f t="shared" si="2"/>
        <v>90.189125295508276</v>
      </c>
      <c r="G69" s="41">
        <f t="shared" si="1"/>
        <v>2.8368794326241136</v>
      </c>
    </row>
    <row r="70" spans="4:7" ht="18.75" x14ac:dyDescent="0.3">
      <c r="D70" s="37" t="s">
        <v>123</v>
      </c>
      <c r="E70" s="38">
        <v>41</v>
      </c>
      <c r="F70" s="39">
        <f t="shared" si="2"/>
        <v>92.612293144208039</v>
      </c>
      <c r="G70" s="39">
        <f t="shared" si="1"/>
        <v>2.4231678486997636</v>
      </c>
    </row>
    <row r="71" spans="4:7" ht="18.75" x14ac:dyDescent="0.3">
      <c r="D71" s="36" t="s">
        <v>124</v>
      </c>
      <c r="E71" s="40">
        <v>38</v>
      </c>
      <c r="F71" s="41">
        <f t="shared" si="2"/>
        <v>94.858156028368796</v>
      </c>
      <c r="G71" s="41">
        <f t="shared" si="1"/>
        <v>2.2458628841607564</v>
      </c>
    </row>
    <row r="72" spans="4:7" ht="18.75" x14ac:dyDescent="0.3">
      <c r="D72" s="37" t="s">
        <v>131</v>
      </c>
      <c r="E72" s="38">
        <v>29</v>
      </c>
      <c r="F72" s="39">
        <f t="shared" si="2"/>
        <v>96.572104018912526</v>
      </c>
      <c r="G72" s="39">
        <f t="shared" si="1"/>
        <v>1.7139479905437354</v>
      </c>
    </row>
    <row r="73" spans="4:7" ht="18.75" x14ac:dyDescent="0.3">
      <c r="D73" s="36" t="s">
        <v>148</v>
      </c>
      <c r="E73" s="40">
        <v>29</v>
      </c>
      <c r="F73" s="41">
        <f t="shared" si="2"/>
        <v>98.286052009456256</v>
      </c>
      <c r="G73" s="41">
        <f t="shared" si="1"/>
        <v>1.7139479905437354</v>
      </c>
    </row>
    <row r="74" spans="4:7" ht="18.75" x14ac:dyDescent="0.3">
      <c r="D74" s="37" t="s">
        <v>133</v>
      </c>
      <c r="E74" s="38">
        <v>29</v>
      </c>
      <c r="F74" s="39">
        <f t="shared" si="2"/>
        <v>99.999999999999986</v>
      </c>
      <c r="G74" s="39">
        <f t="shared" si="1"/>
        <v>1.7139479905437354</v>
      </c>
    </row>
    <row r="75" spans="4:7" ht="18.75" x14ac:dyDescent="0.3">
      <c r="D75" s="36" t="s">
        <v>149</v>
      </c>
      <c r="E75" s="36">
        <f>SUM(E50:E74)</f>
        <v>1692</v>
      </c>
      <c r="F75" s="36"/>
      <c r="G75" s="36">
        <f>SUM(G50:G74)</f>
        <v>99.999999999999986</v>
      </c>
    </row>
  </sheetData>
  <mergeCells count="34">
    <mergeCell ref="A33:A36"/>
    <mergeCell ref="A37:O37"/>
    <mergeCell ref="A38:D43"/>
    <mergeCell ref="E38:I38"/>
    <mergeCell ref="J38:P43"/>
    <mergeCell ref="E39:I43"/>
    <mergeCell ref="A31:A32"/>
    <mergeCell ref="K6:K11"/>
    <mergeCell ref="L6:L11"/>
    <mergeCell ref="M6:M11"/>
    <mergeCell ref="N6:N11"/>
    <mergeCell ref="A16:A19"/>
    <mergeCell ref="A20:A21"/>
    <mergeCell ref="A23:A25"/>
    <mergeCell ref="A26:A27"/>
    <mergeCell ref="A28:A29"/>
    <mergeCell ref="A12:A14"/>
    <mergeCell ref="E6:E11"/>
    <mergeCell ref="F6:F11"/>
    <mergeCell ref="G6:G11"/>
    <mergeCell ref="H6:H11"/>
    <mergeCell ref="A3:B4"/>
    <mergeCell ref="C3:O4"/>
    <mergeCell ref="P3:P11"/>
    <mergeCell ref="A5:A11"/>
    <mergeCell ref="D5:F5"/>
    <mergeCell ref="K5:L5"/>
    <mergeCell ref="M5:N5"/>
    <mergeCell ref="B6:B11"/>
    <mergeCell ref="C6:C11"/>
    <mergeCell ref="D6:D11"/>
    <mergeCell ref="O6:O11"/>
    <mergeCell ref="I6:I11"/>
    <mergeCell ref="J6:J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opLeftCell="D54" zoomScale="70" zoomScaleNormal="70" workbookViewId="0">
      <selection activeCell="S80" sqref="S80"/>
    </sheetView>
  </sheetViews>
  <sheetFormatPr baseColWidth="10" defaultRowHeight="15" x14ac:dyDescent="0.25"/>
  <cols>
    <col min="1" max="1" width="6.5703125" customWidth="1"/>
    <col min="2" max="2" width="103" customWidth="1"/>
    <col min="3" max="33" width="11.7109375" customWidth="1"/>
    <col min="34" max="35" width="20.85546875" customWidth="1"/>
    <col min="36" max="37" width="16.5703125" customWidth="1"/>
  </cols>
  <sheetData>
    <row r="1" spans="1:37" x14ac:dyDescent="0.25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6"/>
    </row>
    <row r="2" spans="1:37" x14ac:dyDescent="0.25">
      <c r="A2" s="224" t="s">
        <v>150</v>
      </c>
      <c r="B2" s="224"/>
      <c r="C2" s="225" t="s">
        <v>72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49"/>
      <c r="AI2" s="49"/>
      <c r="AJ2" s="49"/>
      <c r="AK2" s="46"/>
    </row>
    <row r="3" spans="1:37" x14ac:dyDescent="0.25">
      <c r="A3" s="224"/>
      <c r="B3" s="224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49"/>
      <c r="AI3" s="49"/>
      <c r="AJ3" s="49"/>
      <c r="AK3" s="46"/>
    </row>
    <row r="4" spans="1:37" ht="15" customHeight="1" x14ac:dyDescent="0.25">
      <c r="A4" s="224" t="s">
        <v>151</v>
      </c>
      <c r="B4" s="224"/>
      <c r="C4" s="225" t="s">
        <v>152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50"/>
      <c r="AI4" s="50"/>
      <c r="AJ4" s="50"/>
      <c r="AK4" s="46"/>
    </row>
    <row r="5" spans="1:37" x14ac:dyDescent="0.25">
      <c r="A5" s="224"/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50"/>
      <c r="AI5" s="50"/>
      <c r="AJ5" s="50"/>
      <c r="AK5" s="46"/>
    </row>
    <row r="6" spans="1:37" x14ac:dyDescent="0.25">
      <c r="A6" s="224" t="s">
        <v>153</v>
      </c>
      <c r="B6" s="224"/>
      <c r="C6" s="226" t="s">
        <v>154</v>
      </c>
      <c r="D6" s="226" t="s">
        <v>155</v>
      </c>
      <c r="E6" s="226" t="s">
        <v>155</v>
      </c>
      <c r="F6" s="226" t="s">
        <v>155</v>
      </c>
      <c r="G6" s="226" t="s">
        <v>156</v>
      </c>
      <c r="H6" s="227" t="s">
        <v>157</v>
      </c>
      <c r="I6" s="227" t="s">
        <v>156</v>
      </c>
      <c r="J6" s="227" t="s">
        <v>155</v>
      </c>
      <c r="K6" s="227" t="s">
        <v>156</v>
      </c>
      <c r="L6" s="227" t="s">
        <v>154</v>
      </c>
      <c r="M6" s="227" t="s">
        <v>154</v>
      </c>
      <c r="N6" s="226" t="s">
        <v>158</v>
      </c>
      <c r="O6" s="226" t="s">
        <v>158</v>
      </c>
      <c r="P6" s="227" t="s">
        <v>159</v>
      </c>
      <c r="Q6" s="226" t="s">
        <v>154</v>
      </c>
      <c r="R6" s="226" t="s">
        <v>154</v>
      </c>
      <c r="S6" s="226" t="s">
        <v>154</v>
      </c>
      <c r="T6" s="226" t="s">
        <v>154</v>
      </c>
      <c r="U6" s="226" t="s">
        <v>154</v>
      </c>
      <c r="V6" s="226" t="s">
        <v>154</v>
      </c>
      <c r="W6" s="226" t="s">
        <v>154</v>
      </c>
      <c r="X6" s="226" t="s">
        <v>158</v>
      </c>
      <c r="Y6" s="226" t="s">
        <v>158</v>
      </c>
      <c r="Z6" s="226" t="s">
        <v>158</v>
      </c>
      <c r="AA6" s="226" t="s">
        <v>158</v>
      </c>
      <c r="AB6" s="226" t="s">
        <v>154</v>
      </c>
      <c r="AC6" s="226" t="s">
        <v>154</v>
      </c>
      <c r="AD6" s="226" t="s">
        <v>154</v>
      </c>
      <c r="AE6" s="226" t="s">
        <v>154</v>
      </c>
      <c r="AF6" s="226" t="s">
        <v>154</v>
      </c>
      <c r="AG6" s="226" t="s">
        <v>154</v>
      </c>
      <c r="AH6" s="51"/>
      <c r="AI6" s="51"/>
      <c r="AJ6" s="51"/>
      <c r="AK6" s="46"/>
    </row>
    <row r="7" spans="1:37" x14ac:dyDescent="0.25">
      <c r="A7" s="224"/>
      <c r="B7" s="224"/>
      <c r="C7" s="226"/>
      <c r="D7" s="226"/>
      <c r="E7" s="226"/>
      <c r="F7" s="226"/>
      <c r="G7" s="226"/>
      <c r="H7" s="227"/>
      <c r="I7" s="227"/>
      <c r="J7" s="227"/>
      <c r="K7" s="227"/>
      <c r="L7" s="227"/>
      <c r="M7" s="227"/>
      <c r="N7" s="226"/>
      <c r="O7" s="226"/>
      <c r="P7" s="227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K7" s="46"/>
    </row>
    <row r="8" spans="1:37" x14ac:dyDescent="0.25">
      <c r="A8" s="224" t="s">
        <v>160</v>
      </c>
      <c r="B8" s="224"/>
      <c r="C8" s="226">
        <v>43679</v>
      </c>
      <c r="D8" s="226">
        <v>45136</v>
      </c>
      <c r="E8" s="226">
        <v>45136</v>
      </c>
      <c r="F8" s="226">
        <v>45136</v>
      </c>
      <c r="G8" s="226">
        <v>45137</v>
      </c>
      <c r="H8" s="226">
        <v>46338</v>
      </c>
      <c r="I8" s="226">
        <v>46280</v>
      </c>
      <c r="J8" s="226">
        <v>45141</v>
      </c>
      <c r="K8" s="226">
        <v>45142</v>
      </c>
      <c r="L8" s="226">
        <v>44346</v>
      </c>
      <c r="M8" s="226">
        <v>44349</v>
      </c>
      <c r="N8" s="227">
        <v>45587</v>
      </c>
      <c r="O8" s="226">
        <v>46288</v>
      </c>
      <c r="P8" s="226">
        <v>37784</v>
      </c>
      <c r="Q8" s="226">
        <v>43685</v>
      </c>
      <c r="R8" s="226">
        <v>43685</v>
      </c>
      <c r="S8" s="226">
        <v>43685</v>
      </c>
      <c r="T8" s="226">
        <v>45452</v>
      </c>
      <c r="U8" s="228">
        <v>45459</v>
      </c>
      <c r="V8" s="228">
        <v>45459</v>
      </c>
      <c r="W8" s="228">
        <v>45459</v>
      </c>
      <c r="X8" s="228">
        <v>45597</v>
      </c>
      <c r="Y8" s="228">
        <v>45996</v>
      </c>
      <c r="Z8" s="228">
        <v>47013</v>
      </c>
      <c r="AA8" s="228">
        <v>45598</v>
      </c>
      <c r="AB8" s="228">
        <v>45464</v>
      </c>
      <c r="AC8" s="228">
        <v>45464</v>
      </c>
      <c r="AD8" s="228">
        <v>45464</v>
      </c>
      <c r="AE8" s="228">
        <v>45464</v>
      </c>
      <c r="AF8" s="228">
        <v>45465</v>
      </c>
      <c r="AG8" s="228">
        <v>43690</v>
      </c>
      <c r="AK8" s="46"/>
    </row>
    <row r="9" spans="1:37" x14ac:dyDescent="0.25">
      <c r="A9" s="224"/>
      <c r="B9" s="224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  <c r="Q9" s="226"/>
      <c r="R9" s="226"/>
      <c r="S9" s="226"/>
      <c r="T9" s="22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K9" s="46"/>
    </row>
    <row r="10" spans="1:37" x14ac:dyDescent="0.25">
      <c r="A10" s="233" t="s">
        <v>161</v>
      </c>
      <c r="B10" s="234"/>
      <c r="C10" s="229" t="s">
        <v>215</v>
      </c>
      <c r="D10" s="229" t="s">
        <v>162</v>
      </c>
      <c r="E10" s="229" t="s">
        <v>163</v>
      </c>
      <c r="F10" s="229" t="s">
        <v>164</v>
      </c>
      <c r="G10" s="229" t="s">
        <v>165</v>
      </c>
      <c r="H10" s="229" t="s">
        <v>177</v>
      </c>
      <c r="I10" s="229" t="s">
        <v>167</v>
      </c>
      <c r="J10" s="229" t="s">
        <v>168</v>
      </c>
      <c r="K10" s="229" t="s">
        <v>169</v>
      </c>
      <c r="L10" s="229" t="s">
        <v>166</v>
      </c>
      <c r="M10" s="229" t="s">
        <v>168</v>
      </c>
      <c r="N10" s="229" t="s">
        <v>169</v>
      </c>
      <c r="O10" s="229" t="s">
        <v>169</v>
      </c>
      <c r="P10" s="229" t="s">
        <v>170</v>
      </c>
      <c r="Q10" s="229" t="s">
        <v>171</v>
      </c>
      <c r="R10" s="229" t="s">
        <v>172</v>
      </c>
      <c r="S10" s="229" t="s">
        <v>168</v>
      </c>
      <c r="T10" s="229" t="s">
        <v>169</v>
      </c>
      <c r="U10" s="229" t="s">
        <v>216</v>
      </c>
      <c r="V10" s="229" t="s">
        <v>173</v>
      </c>
      <c r="W10" s="229" t="s">
        <v>168</v>
      </c>
      <c r="X10" s="229" t="s">
        <v>169</v>
      </c>
      <c r="Y10" s="229" t="s">
        <v>174</v>
      </c>
      <c r="Z10" s="229" t="s">
        <v>174</v>
      </c>
      <c r="AA10" s="229" t="s">
        <v>169</v>
      </c>
      <c r="AB10" s="229" t="s">
        <v>175</v>
      </c>
      <c r="AC10" s="229" t="s">
        <v>217</v>
      </c>
      <c r="AD10" s="229" t="s">
        <v>176</v>
      </c>
      <c r="AE10" s="229" t="s">
        <v>166</v>
      </c>
      <c r="AF10" s="229" t="s">
        <v>178</v>
      </c>
      <c r="AG10" s="229" t="s">
        <v>215</v>
      </c>
      <c r="AK10" s="46"/>
    </row>
    <row r="11" spans="1:37" ht="15" customHeight="1" x14ac:dyDescent="0.25">
      <c r="A11" s="235"/>
      <c r="B11" s="236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K11" s="46"/>
    </row>
    <row r="12" spans="1:37" ht="15" customHeight="1" x14ac:dyDescent="0.25">
      <c r="A12" s="235"/>
      <c r="B12" s="236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K12" s="46"/>
    </row>
    <row r="13" spans="1:37" x14ac:dyDescent="0.25">
      <c r="A13" s="237"/>
      <c r="B13" s="238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K13" s="46"/>
    </row>
    <row r="14" spans="1:37" x14ac:dyDescent="0.25">
      <c r="A14" s="224" t="s">
        <v>179</v>
      </c>
      <c r="B14" s="224"/>
      <c r="C14" s="232">
        <v>42115</v>
      </c>
      <c r="D14" s="232">
        <v>42118</v>
      </c>
      <c r="E14" s="232">
        <v>42118</v>
      </c>
      <c r="F14" s="232">
        <v>42118</v>
      </c>
      <c r="G14" s="232">
        <v>42121</v>
      </c>
      <c r="H14" s="232">
        <v>42122</v>
      </c>
      <c r="I14" s="232">
        <v>42122</v>
      </c>
      <c r="J14" s="232">
        <v>42122</v>
      </c>
      <c r="K14" s="232">
        <v>42122</v>
      </c>
      <c r="L14" s="232">
        <v>42122</v>
      </c>
      <c r="M14" s="232">
        <v>42122</v>
      </c>
      <c r="N14" s="232">
        <v>42123</v>
      </c>
      <c r="O14" s="232">
        <v>42123</v>
      </c>
      <c r="P14" s="232">
        <v>42123</v>
      </c>
      <c r="Q14" s="232">
        <v>42124</v>
      </c>
      <c r="R14" s="232">
        <v>42124</v>
      </c>
      <c r="S14" s="232">
        <v>42124</v>
      </c>
      <c r="T14" s="232">
        <v>42123</v>
      </c>
      <c r="U14" s="232">
        <v>42130</v>
      </c>
      <c r="V14" s="232">
        <v>42130</v>
      </c>
      <c r="W14" s="232">
        <v>42130</v>
      </c>
      <c r="X14" s="232">
        <v>42131</v>
      </c>
      <c r="Y14" s="232">
        <v>42131</v>
      </c>
      <c r="Z14" s="232">
        <v>42132</v>
      </c>
      <c r="AA14" s="232">
        <v>42132</v>
      </c>
      <c r="AB14" s="232">
        <v>42135</v>
      </c>
      <c r="AC14" s="232">
        <v>42135</v>
      </c>
      <c r="AD14" s="232">
        <v>42135</v>
      </c>
      <c r="AE14" s="232">
        <v>42135</v>
      </c>
      <c r="AF14" s="232">
        <v>42136</v>
      </c>
      <c r="AG14" s="232">
        <v>42136</v>
      </c>
      <c r="AK14" s="46"/>
    </row>
    <row r="15" spans="1:37" x14ac:dyDescent="0.25">
      <c r="A15" s="224"/>
      <c r="B15" s="224"/>
      <c r="C15" s="226"/>
      <c r="D15" s="226"/>
      <c r="E15" s="232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K15" s="46"/>
    </row>
    <row r="16" spans="1:37" ht="15" customHeight="1" x14ac:dyDescent="0.25">
      <c r="A16" s="224" t="s">
        <v>180</v>
      </c>
      <c r="B16" s="224"/>
      <c r="C16" s="239" t="s">
        <v>181</v>
      </c>
      <c r="D16" s="239" t="s">
        <v>182</v>
      </c>
      <c r="E16" s="239" t="s">
        <v>182</v>
      </c>
      <c r="F16" s="239" t="s">
        <v>182</v>
      </c>
      <c r="G16" s="239" t="s">
        <v>183</v>
      </c>
      <c r="H16" s="239" t="s">
        <v>184</v>
      </c>
      <c r="I16" s="239" t="s">
        <v>185</v>
      </c>
      <c r="J16" s="239" t="s">
        <v>186</v>
      </c>
      <c r="K16" s="239" t="s">
        <v>187</v>
      </c>
      <c r="L16" s="239" t="s">
        <v>188</v>
      </c>
      <c r="M16" s="239" t="s">
        <v>189</v>
      </c>
      <c r="N16" s="239" t="s">
        <v>190</v>
      </c>
      <c r="O16" s="239" t="s">
        <v>191</v>
      </c>
      <c r="P16" s="239" t="s">
        <v>192</v>
      </c>
      <c r="Q16" s="245" t="s">
        <v>193</v>
      </c>
      <c r="R16" s="245" t="s">
        <v>193</v>
      </c>
      <c r="S16" s="245" t="s">
        <v>193</v>
      </c>
      <c r="T16" s="239" t="s">
        <v>194</v>
      </c>
      <c r="U16" s="239" t="s">
        <v>189</v>
      </c>
      <c r="V16" s="239" t="s">
        <v>189</v>
      </c>
      <c r="W16" s="239" t="s">
        <v>189</v>
      </c>
      <c r="X16" s="239" t="s">
        <v>195</v>
      </c>
      <c r="Y16" s="239" t="s">
        <v>196</v>
      </c>
      <c r="Z16" s="239" t="s">
        <v>197</v>
      </c>
      <c r="AA16" s="239" t="s">
        <v>198</v>
      </c>
      <c r="AB16" s="239" t="s">
        <v>199</v>
      </c>
      <c r="AC16" s="239" t="s">
        <v>199</v>
      </c>
      <c r="AD16" s="239" t="s">
        <v>199</v>
      </c>
      <c r="AE16" s="239" t="s">
        <v>199</v>
      </c>
      <c r="AF16" s="239" t="s">
        <v>201</v>
      </c>
      <c r="AG16" s="239" t="s">
        <v>200</v>
      </c>
      <c r="AK16" s="46"/>
    </row>
    <row r="17" spans="1:37" x14ac:dyDescent="0.25">
      <c r="A17" s="224"/>
      <c r="B17" s="224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5"/>
      <c r="R17" s="245"/>
      <c r="S17" s="245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K17" s="46"/>
    </row>
    <row r="18" spans="1:37" ht="15" customHeight="1" x14ac:dyDescent="0.25">
      <c r="A18" s="246" t="s">
        <v>202</v>
      </c>
      <c r="B18" s="246" t="s">
        <v>203</v>
      </c>
      <c r="C18" s="247" t="s">
        <v>218</v>
      </c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9"/>
      <c r="AH18" s="240" t="s">
        <v>219</v>
      </c>
      <c r="AI18" s="240" t="s">
        <v>220</v>
      </c>
    </row>
    <row r="19" spans="1:37" ht="15" customHeight="1" x14ac:dyDescent="0.25">
      <c r="A19" s="243"/>
      <c r="B19" s="243"/>
      <c r="C19" s="250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2"/>
      <c r="AH19" s="241"/>
      <c r="AI19" s="241"/>
    </row>
    <row r="20" spans="1:37" ht="15" customHeight="1" x14ac:dyDescent="0.25">
      <c r="A20" s="243"/>
      <c r="B20" s="243"/>
      <c r="C20" s="243">
        <v>1</v>
      </c>
      <c r="D20" s="243">
        <v>2</v>
      </c>
      <c r="E20" s="243">
        <v>3</v>
      </c>
      <c r="F20" s="243">
        <v>4</v>
      </c>
      <c r="G20" s="243">
        <v>5</v>
      </c>
      <c r="H20" s="243">
        <v>6</v>
      </c>
      <c r="I20" s="243">
        <v>7</v>
      </c>
      <c r="J20" s="243">
        <v>8</v>
      </c>
      <c r="K20" s="243">
        <v>9</v>
      </c>
      <c r="L20" s="243">
        <v>10</v>
      </c>
      <c r="M20" s="243">
        <v>11</v>
      </c>
      <c r="N20" s="243">
        <v>12</v>
      </c>
      <c r="O20" s="243">
        <v>13</v>
      </c>
      <c r="P20" s="243">
        <v>14</v>
      </c>
      <c r="Q20" s="243">
        <v>15</v>
      </c>
      <c r="R20" s="243">
        <v>16</v>
      </c>
      <c r="S20" s="243">
        <v>17</v>
      </c>
      <c r="T20" s="243">
        <v>18</v>
      </c>
      <c r="U20" s="243">
        <v>19</v>
      </c>
      <c r="V20" s="243">
        <v>20</v>
      </c>
      <c r="W20" s="243">
        <v>21</v>
      </c>
      <c r="X20" s="243">
        <v>22</v>
      </c>
      <c r="Y20" s="243">
        <v>23</v>
      </c>
      <c r="Z20" s="243">
        <v>24</v>
      </c>
      <c r="AA20" s="243">
        <v>25</v>
      </c>
      <c r="AB20" s="243">
        <v>26</v>
      </c>
      <c r="AC20" s="243">
        <v>27</v>
      </c>
      <c r="AD20" s="243">
        <v>28</v>
      </c>
      <c r="AE20" s="243">
        <v>29</v>
      </c>
      <c r="AF20" s="243">
        <v>30</v>
      </c>
      <c r="AG20" s="243">
        <v>31</v>
      </c>
      <c r="AH20" s="241"/>
      <c r="AI20" s="241"/>
    </row>
    <row r="21" spans="1:37" x14ac:dyDescent="0.25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2"/>
      <c r="AI21" s="242"/>
    </row>
    <row r="22" spans="1:37" x14ac:dyDescent="0.25">
      <c r="A22" s="42">
        <v>1</v>
      </c>
      <c r="B22" s="42" t="s">
        <v>206</v>
      </c>
      <c r="C22" s="52">
        <v>36</v>
      </c>
      <c r="D22" s="53">
        <v>22</v>
      </c>
      <c r="E22" s="53">
        <v>22</v>
      </c>
      <c r="F22" s="53">
        <v>22</v>
      </c>
      <c r="G22" s="53">
        <v>3</v>
      </c>
      <c r="H22" s="53">
        <v>2</v>
      </c>
      <c r="I22" s="53">
        <v>2</v>
      </c>
      <c r="J22" s="53">
        <v>2</v>
      </c>
      <c r="K22" s="53">
        <v>2</v>
      </c>
      <c r="L22" s="53">
        <v>26</v>
      </c>
      <c r="M22" s="53">
        <v>26</v>
      </c>
      <c r="N22" s="53">
        <v>1</v>
      </c>
      <c r="O22" s="53">
        <v>2</v>
      </c>
      <c r="P22" s="53">
        <v>19</v>
      </c>
      <c r="Q22" s="53">
        <v>3</v>
      </c>
      <c r="R22" s="53">
        <v>3</v>
      </c>
      <c r="S22" s="53">
        <v>3</v>
      </c>
      <c r="T22" s="53">
        <v>11</v>
      </c>
      <c r="U22" s="53">
        <v>7</v>
      </c>
      <c r="V22" s="53">
        <v>7</v>
      </c>
      <c r="W22" s="53">
        <v>7</v>
      </c>
      <c r="X22" s="53">
        <v>4</v>
      </c>
      <c r="Y22" s="53">
        <v>4</v>
      </c>
      <c r="Z22" s="53">
        <v>2</v>
      </c>
      <c r="AA22" s="53">
        <v>2</v>
      </c>
      <c r="AB22" s="53">
        <v>24</v>
      </c>
      <c r="AC22" s="53">
        <v>24</v>
      </c>
      <c r="AD22" s="53">
        <v>24</v>
      </c>
      <c r="AE22" s="53">
        <v>24</v>
      </c>
      <c r="AF22" s="53">
        <v>22</v>
      </c>
      <c r="AG22" s="54">
        <v>22</v>
      </c>
      <c r="AH22" s="55">
        <f>+SUM(C22:AG22)</f>
        <v>380</v>
      </c>
      <c r="AI22" s="56">
        <f>+AVERAGE(C22:AG22)</f>
        <v>12.258064516129032</v>
      </c>
    </row>
    <row r="23" spans="1:37" x14ac:dyDescent="0.25">
      <c r="A23" s="42">
        <v>2</v>
      </c>
      <c r="B23" t="s">
        <v>207</v>
      </c>
      <c r="C23" s="52">
        <v>36</v>
      </c>
      <c r="D23" s="53">
        <v>12</v>
      </c>
      <c r="E23" s="53">
        <v>12</v>
      </c>
      <c r="F23" s="53">
        <v>12</v>
      </c>
      <c r="G23" s="53">
        <v>134</v>
      </c>
      <c r="H23" s="53">
        <v>543</v>
      </c>
      <c r="I23" s="53">
        <v>107</v>
      </c>
      <c r="J23" s="53">
        <v>107</v>
      </c>
      <c r="K23" s="53">
        <v>107</v>
      </c>
      <c r="L23" s="53">
        <v>31</v>
      </c>
      <c r="M23" s="53">
        <v>31</v>
      </c>
      <c r="N23" s="53">
        <v>2</v>
      </c>
      <c r="O23" s="53">
        <v>3</v>
      </c>
      <c r="P23" s="53">
        <v>168</v>
      </c>
      <c r="Q23" s="53">
        <v>2</v>
      </c>
      <c r="R23" s="53">
        <v>2</v>
      </c>
      <c r="S23" s="53">
        <v>2</v>
      </c>
      <c r="T23" s="53">
        <v>143</v>
      </c>
      <c r="U23" s="53">
        <v>5</v>
      </c>
      <c r="V23" s="53">
        <v>5</v>
      </c>
      <c r="W23" s="53">
        <v>5</v>
      </c>
      <c r="X23" s="53">
        <v>7</v>
      </c>
      <c r="Y23" s="53">
        <v>7</v>
      </c>
      <c r="Z23" s="53">
        <v>13</v>
      </c>
      <c r="AA23" s="53">
        <v>13</v>
      </c>
      <c r="AB23" s="53">
        <v>94</v>
      </c>
      <c r="AC23" s="53">
        <v>94</v>
      </c>
      <c r="AD23" s="53">
        <v>94</v>
      </c>
      <c r="AE23" s="53">
        <v>94</v>
      </c>
      <c r="AF23" s="53">
        <v>50</v>
      </c>
      <c r="AG23" s="54">
        <v>50</v>
      </c>
      <c r="AH23" s="55">
        <f t="shared" ref="AH23:AH29" si="0">+SUM(C23:AG23)</f>
        <v>1985</v>
      </c>
      <c r="AI23" s="56">
        <f t="shared" ref="AI23:AI30" si="1">+AVERAGE(C23:AG23)</f>
        <v>64.032258064516128</v>
      </c>
    </row>
    <row r="24" spans="1:37" x14ac:dyDescent="0.25">
      <c r="A24" s="42">
        <v>3</v>
      </c>
      <c r="B24" s="42" t="s">
        <v>208</v>
      </c>
      <c r="C24" s="52">
        <v>44</v>
      </c>
      <c r="D24" s="53">
        <v>13</v>
      </c>
      <c r="E24" s="53">
        <v>13</v>
      </c>
      <c r="F24" s="53">
        <v>13</v>
      </c>
      <c r="G24" s="53">
        <v>93</v>
      </c>
      <c r="H24" s="53">
        <v>48</v>
      </c>
      <c r="I24" s="53">
        <v>66</v>
      </c>
      <c r="J24" s="53">
        <v>342</v>
      </c>
      <c r="K24" s="53">
        <v>66</v>
      </c>
      <c r="L24" s="53">
        <v>273</v>
      </c>
      <c r="M24" s="53">
        <v>273</v>
      </c>
      <c r="N24" s="53">
        <v>172</v>
      </c>
      <c r="O24" s="53">
        <v>168</v>
      </c>
      <c r="P24" s="53">
        <v>275</v>
      </c>
      <c r="Q24" s="53">
        <v>55</v>
      </c>
      <c r="R24" s="53">
        <v>55</v>
      </c>
      <c r="S24" s="53">
        <v>55</v>
      </c>
      <c r="T24" s="53">
        <v>62</v>
      </c>
      <c r="U24" s="53">
        <v>77</v>
      </c>
      <c r="V24" s="53">
        <v>77</v>
      </c>
      <c r="W24" s="53">
        <v>77</v>
      </c>
      <c r="X24" s="53">
        <v>38</v>
      </c>
      <c r="Y24" s="53">
        <v>38</v>
      </c>
      <c r="Z24" s="53">
        <v>21</v>
      </c>
      <c r="AA24" s="53">
        <v>21</v>
      </c>
      <c r="AB24" s="53">
        <v>91</v>
      </c>
      <c r="AC24" s="53">
        <v>91</v>
      </c>
      <c r="AD24" s="53">
        <v>91</v>
      </c>
      <c r="AE24" s="53">
        <v>91</v>
      </c>
      <c r="AF24" s="53">
        <v>84</v>
      </c>
      <c r="AG24" s="54">
        <v>15</v>
      </c>
      <c r="AH24" s="55">
        <f t="shared" si="0"/>
        <v>2898</v>
      </c>
      <c r="AI24" s="56">
        <f t="shared" si="1"/>
        <v>93.483870967741936</v>
      </c>
    </row>
    <row r="25" spans="1:37" x14ac:dyDescent="0.25">
      <c r="A25" s="42">
        <v>4</v>
      </c>
      <c r="B25" s="42" t="s">
        <v>209</v>
      </c>
      <c r="C25" s="52">
        <v>20</v>
      </c>
      <c r="D25" s="53">
        <v>543</v>
      </c>
      <c r="E25" s="53">
        <v>543</v>
      </c>
      <c r="F25" s="53">
        <v>543</v>
      </c>
      <c r="G25" s="53">
        <v>8</v>
      </c>
      <c r="H25" s="53">
        <v>10</v>
      </c>
      <c r="I25" s="53">
        <v>7</v>
      </c>
      <c r="J25" s="53">
        <v>18</v>
      </c>
      <c r="K25" s="53">
        <v>7</v>
      </c>
      <c r="L25" s="53">
        <v>18</v>
      </c>
      <c r="M25" s="53">
        <v>18</v>
      </c>
      <c r="N25" s="53">
        <v>18</v>
      </c>
      <c r="O25" s="53">
        <v>18</v>
      </c>
      <c r="P25" s="53">
        <v>13</v>
      </c>
      <c r="Q25" s="53">
        <v>29</v>
      </c>
      <c r="R25" s="53">
        <v>29</v>
      </c>
      <c r="S25" s="53">
        <v>29</v>
      </c>
      <c r="T25" s="53">
        <v>15</v>
      </c>
      <c r="U25" s="53">
        <v>16</v>
      </c>
      <c r="V25" s="53">
        <v>16</v>
      </c>
      <c r="W25" s="53">
        <v>16</v>
      </c>
      <c r="X25" s="53">
        <v>9</v>
      </c>
      <c r="Y25" s="53">
        <v>9</v>
      </c>
      <c r="Z25" s="53">
        <v>5</v>
      </c>
      <c r="AA25" s="53">
        <v>5</v>
      </c>
      <c r="AB25" s="53">
        <v>4</v>
      </c>
      <c r="AC25" s="53">
        <v>4</v>
      </c>
      <c r="AD25" s="53">
        <v>4</v>
      </c>
      <c r="AE25" s="53">
        <v>4</v>
      </c>
      <c r="AF25" s="53">
        <v>77</v>
      </c>
      <c r="AG25" s="54">
        <v>17</v>
      </c>
      <c r="AH25" s="55">
        <f t="shared" si="0"/>
        <v>2072</v>
      </c>
      <c r="AI25" s="56">
        <f t="shared" si="1"/>
        <v>66.838709677419359</v>
      </c>
    </row>
    <row r="26" spans="1:37" x14ac:dyDescent="0.25">
      <c r="A26" s="42">
        <v>5</v>
      </c>
      <c r="B26" s="44" t="s">
        <v>210</v>
      </c>
      <c r="C26" s="52"/>
      <c r="D26" s="53">
        <v>4244</v>
      </c>
      <c r="E26" s="53">
        <v>4244</v>
      </c>
      <c r="F26" s="53">
        <v>4244</v>
      </c>
      <c r="G26" s="53">
        <v>3778</v>
      </c>
      <c r="H26" s="53"/>
      <c r="I26" s="53"/>
      <c r="J26" s="53">
        <v>3706</v>
      </c>
      <c r="K26" s="53"/>
      <c r="L26" s="53"/>
      <c r="M26" s="53"/>
      <c r="N26" s="53"/>
      <c r="O26" s="53"/>
      <c r="P26" s="53"/>
      <c r="Q26" s="53">
        <v>3272</v>
      </c>
      <c r="R26" s="53">
        <v>3272</v>
      </c>
      <c r="S26" s="53">
        <v>3272</v>
      </c>
      <c r="T26" s="53"/>
      <c r="U26" s="53"/>
      <c r="V26" s="53"/>
      <c r="W26" s="53">
        <v>1808</v>
      </c>
      <c r="X26" s="53"/>
      <c r="Y26" s="53"/>
      <c r="Z26" s="53"/>
      <c r="AA26" s="53"/>
      <c r="AB26" s="53"/>
      <c r="AC26" s="53"/>
      <c r="AD26" s="53"/>
      <c r="AE26" s="53"/>
      <c r="AF26" s="53"/>
      <c r="AG26" s="54"/>
      <c r="AH26" s="55">
        <f t="shared" si="0"/>
        <v>31840</v>
      </c>
      <c r="AI26" s="56">
        <f t="shared" si="1"/>
        <v>3537.7777777777778</v>
      </c>
    </row>
    <row r="27" spans="1:37" x14ac:dyDescent="0.25">
      <c r="A27" s="42">
        <v>6</v>
      </c>
      <c r="B27" s="42" t="s">
        <v>211</v>
      </c>
      <c r="C27" s="52">
        <v>2</v>
      </c>
      <c r="D27" s="53">
        <v>55</v>
      </c>
      <c r="E27" s="53">
        <v>55</v>
      </c>
      <c r="F27" s="53">
        <v>55</v>
      </c>
      <c r="G27" s="53">
        <v>17</v>
      </c>
      <c r="H27" s="53"/>
      <c r="I27" s="53">
        <v>187</v>
      </c>
      <c r="J27" s="53">
        <v>27</v>
      </c>
      <c r="K27" s="53">
        <f>247-60</f>
        <v>187</v>
      </c>
      <c r="L27" s="53">
        <v>26</v>
      </c>
      <c r="M27" s="53">
        <v>26</v>
      </c>
      <c r="N27" s="53"/>
      <c r="O27" s="53"/>
      <c r="P27" s="53">
        <v>505</v>
      </c>
      <c r="Q27" s="53">
        <v>27</v>
      </c>
      <c r="R27" s="53">
        <v>27</v>
      </c>
      <c r="S27" s="53">
        <v>27</v>
      </c>
      <c r="T27" s="53">
        <v>975</v>
      </c>
      <c r="U27" s="53">
        <v>484</v>
      </c>
      <c r="V27" s="53">
        <v>484</v>
      </c>
      <c r="W27" s="53">
        <v>27</v>
      </c>
      <c r="X27" s="53"/>
      <c r="Y27" s="53"/>
      <c r="Z27" s="53"/>
      <c r="AA27" s="53"/>
      <c r="AB27" s="53">
        <v>55</v>
      </c>
      <c r="AC27" s="53">
        <v>55</v>
      </c>
      <c r="AD27" s="53">
        <v>55</v>
      </c>
      <c r="AE27" s="53">
        <v>55</v>
      </c>
      <c r="AF27" s="53">
        <v>27</v>
      </c>
      <c r="AG27" s="54">
        <v>363</v>
      </c>
      <c r="AH27" s="55">
        <f t="shared" si="0"/>
        <v>3803</v>
      </c>
      <c r="AI27" s="56">
        <f>+AVERAGE(C27:AG27)</f>
        <v>158.45833333333334</v>
      </c>
    </row>
    <row r="28" spans="1:37" x14ac:dyDescent="0.25">
      <c r="A28" s="42">
        <v>7</v>
      </c>
      <c r="B28" s="45" t="s">
        <v>212</v>
      </c>
      <c r="C28" s="52">
        <v>220</v>
      </c>
      <c r="D28" s="53">
        <v>163</v>
      </c>
      <c r="E28" s="53">
        <v>163</v>
      </c>
      <c r="F28" s="53">
        <v>163</v>
      </c>
      <c r="G28" s="53">
        <v>297</v>
      </c>
      <c r="H28" s="53">
        <v>160</v>
      </c>
      <c r="I28" s="53">
        <v>13</v>
      </c>
      <c r="J28" s="53">
        <v>314</v>
      </c>
      <c r="K28" s="53">
        <v>13</v>
      </c>
      <c r="L28" s="53">
        <v>225</v>
      </c>
      <c r="M28" s="53">
        <v>225</v>
      </c>
      <c r="N28" s="53">
        <v>294</v>
      </c>
      <c r="O28" s="53">
        <v>294</v>
      </c>
      <c r="P28" s="53">
        <v>197</v>
      </c>
      <c r="Q28" s="53">
        <v>314</v>
      </c>
      <c r="R28" s="53">
        <v>314</v>
      </c>
      <c r="S28" s="53">
        <v>314</v>
      </c>
      <c r="T28" s="53">
        <v>305</v>
      </c>
      <c r="U28" s="53">
        <v>233</v>
      </c>
      <c r="V28" s="53">
        <v>233</v>
      </c>
      <c r="W28" s="53">
        <v>314</v>
      </c>
      <c r="X28" s="53">
        <v>8</v>
      </c>
      <c r="Y28" s="53">
        <v>8</v>
      </c>
      <c r="Z28" s="53">
        <v>13</v>
      </c>
      <c r="AA28" s="53">
        <v>13</v>
      </c>
      <c r="AB28" s="53">
        <v>325</v>
      </c>
      <c r="AC28" s="53">
        <v>325</v>
      </c>
      <c r="AD28" s="53">
        <v>325</v>
      </c>
      <c r="AE28" s="53">
        <v>325</v>
      </c>
      <c r="AF28" s="53">
        <v>314</v>
      </c>
      <c r="AG28" s="54">
        <v>267</v>
      </c>
      <c r="AH28" s="55">
        <f t="shared" si="0"/>
        <v>6691</v>
      </c>
      <c r="AI28" s="56">
        <f>+AVERAGE(C28:AG28)</f>
        <v>215.83870967741936</v>
      </c>
    </row>
    <row r="29" spans="1:37" x14ac:dyDescent="0.25">
      <c r="A29" s="42">
        <v>8</v>
      </c>
      <c r="B29" s="42" t="s">
        <v>213</v>
      </c>
      <c r="C29" s="52">
        <v>127</v>
      </c>
      <c r="D29" s="53">
        <v>144</v>
      </c>
      <c r="E29" s="53">
        <v>144</v>
      </c>
      <c r="F29" s="53">
        <v>144</v>
      </c>
      <c r="G29" s="53">
        <v>54</v>
      </c>
      <c r="H29" s="53">
        <v>69</v>
      </c>
      <c r="I29" s="53">
        <v>124</v>
      </c>
      <c r="J29" s="53">
        <v>146</v>
      </c>
      <c r="K29" s="53">
        <v>124</v>
      </c>
      <c r="L29" s="53">
        <v>58</v>
      </c>
      <c r="M29" s="53">
        <v>58</v>
      </c>
      <c r="N29" s="53">
        <v>69</v>
      </c>
      <c r="O29" s="53">
        <v>69</v>
      </c>
      <c r="P29" s="53">
        <v>133</v>
      </c>
      <c r="Q29" s="53">
        <v>146</v>
      </c>
      <c r="R29" s="53">
        <v>146</v>
      </c>
      <c r="S29" s="53">
        <v>146</v>
      </c>
      <c r="T29" s="53">
        <v>70</v>
      </c>
      <c r="U29" s="53">
        <v>59</v>
      </c>
      <c r="V29" s="53">
        <v>59</v>
      </c>
      <c r="W29" s="53">
        <v>146</v>
      </c>
      <c r="X29" s="53">
        <v>42</v>
      </c>
      <c r="Y29" s="53">
        <v>42</v>
      </c>
      <c r="Z29" s="53">
        <v>72</v>
      </c>
      <c r="AA29" s="53">
        <v>72</v>
      </c>
      <c r="AB29" s="53">
        <v>41</v>
      </c>
      <c r="AC29" s="53">
        <v>41</v>
      </c>
      <c r="AD29" s="53">
        <v>41</v>
      </c>
      <c r="AE29" s="53">
        <v>41</v>
      </c>
      <c r="AF29" s="53">
        <v>146</v>
      </c>
      <c r="AG29" s="54">
        <v>87</v>
      </c>
      <c r="AH29" s="55">
        <f t="shared" si="0"/>
        <v>2860</v>
      </c>
      <c r="AI29" s="56">
        <f t="shared" si="1"/>
        <v>92.258064516129039</v>
      </c>
    </row>
    <row r="30" spans="1:37" x14ac:dyDescent="0.25">
      <c r="A30" s="42">
        <v>9</v>
      </c>
      <c r="B30" s="42" t="s">
        <v>214</v>
      </c>
      <c r="C30" s="52">
        <v>1095</v>
      </c>
      <c r="D30" s="53">
        <v>854</v>
      </c>
      <c r="E30" s="53">
        <v>854</v>
      </c>
      <c r="F30" s="53">
        <v>854</v>
      </c>
      <c r="G30" s="53">
        <v>900</v>
      </c>
      <c r="H30" s="53">
        <v>56</v>
      </c>
      <c r="I30" s="53">
        <v>751</v>
      </c>
      <c r="J30" s="53">
        <v>907</v>
      </c>
      <c r="K30" s="53">
        <v>751</v>
      </c>
      <c r="L30" s="53">
        <v>1103</v>
      </c>
      <c r="M30" s="53">
        <v>1103</v>
      </c>
      <c r="N30" s="53">
        <v>76</v>
      </c>
      <c r="O30" s="53">
        <v>161</v>
      </c>
      <c r="P30" s="53">
        <v>900</v>
      </c>
      <c r="Q30" s="53">
        <v>1027</v>
      </c>
      <c r="R30" s="53">
        <v>1027</v>
      </c>
      <c r="S30" s="53">
        <v>1027</v>
      </c>
      <c r="T30" s="53">
        <v>1103</v>
      </c>
      <c r="U30" s="53">
        <v>1106</v>
      </c>
      <c r="V30" s="53">
        <v>1106</v>
      </c>
      <c r="W30" s="53">
        <v>1027</v>
      </c>
      <c r="X30" s="53">
        <v>68</v>
      </c>
      <c r="Y30" s="53">
        <v>33</v>
      </c>
      <c r="Z30" s="53">
        <v>93</v>
      </c>
      <c r="AA30" s="53">
        <v>78</v>
      </c>
      <c r="AB30" s="53">
        <v>1095</v>
      </c>
      <c r="AC30" s="53">
        <v>1095</v>
      </c>
      <c r="AD30" s="53">
        <v>1095</v>
      </c>
      <c r="AE30" s="53">
        <v>1095</v>
      </c>
      <c r="AF30" s="53">
        <v>1027</v>
      </c>
      <c r="AG30" s="54">
        <v>1083</v>
      </c>
      <c r="AH30" s="55">
        <f>+SUM(C30:AG30)</f>
        <v>24550</v>
      </c>
      <c r="AI30" s="56">
        <f t="shared" si="1"/>
        <v>791.93548387096769</v>
      </c>
    </row>
    <row r="31" spans="1:37" x14ac:dyDescent="0.25">
      <c r="C31">
        <f>SUM(C22:C30)</f>
        <v>1580</v>
      </c>
      <c r="D31">
        <f t="shared" ref="D31:AG31" si="2">SUM(D22:D30)</f>
        <v>6050</v>
      </c>
      <c r="E31">
        <f t="shared" si="2"/>
        <v>6050</v>
      </c>
      <c r="F31">
        <f t="shared" si="2"/>
        <v>6050</v>
      </c>
      <c r="G31">
        <f t="shared" si="2"/>
        <v>5284</v>
      </c>
      <c r="H31">
        <f t="shared" si="2"/>
        <v>888</v>
      </c>
      <c r="I31">
        <f t="shared" si="2"/>
        <v>1257</v>
      </c>
      <c r="J31">
        <f t="shared" si="2"/>
        <v>5569</v>
      </c>
      <c r="K31">
        <f t="shared" si="2"/>
        <v>1257</v>
      </c>
      <c r="L31">
        <f t="shared" si="2"/>
        <v>1760</v>
      </c>
      <c r="M31">
        <f t="shared" si="2"/>
        <v>1760</v>
      </c>
      <c r="N31">
        <f t="shared" si="2"/>
        <v>632</v>
      </c>
      <c r="O31">
        <f t="shared" si="2"/>
        <v>715</v>
      </c>
      <c r="P31">
        <f t="shared" si="2"/>
        <v>2210</v>
      </c>
      <c r="Q31">
        <f t="shared" si="2"/>
        <v>4875</v>
      </c>
      <c r="R31">
        <f t="shared" si="2"/>
        <v>4875</v>
      </c>
      <c r="S31">
        <f t="shared" si="2"/>
        <v>4875</v>
      </c>
      <c r="T31">
        <f t="shared" si="2"/>
        <v>2684</v>
      </c>
      <c r="U31">
        <f t="shared" si="2"/>
        <v>1987</v>
      </c>
      <c r="V31">
        <f t="shared" si="2"/>
        <v>1987</v>
      </c>
      <c r="W31">
        <f t="shared" si="2"/>
        <v>3427</v>
      </c>
      <c r="X31">
        <f t="shared" si="2"/>
        <v>176</v>
      </c>
      <c r="Y31">
        <f t="shared" si="2"/>
        <v>141</v>
      </c>
      <c r="Z31">
        <f t="shared" si="2"/>
        <v>219</v>
      </c>
      <c r="AA31">
        <f t="shared" si="2"/>
        <v>204</v>
      </c>
      <c r="AB31">
        <f t="shared" si="2"/>
        <v>1729</v>
      </c>
      <c r="AC31">
        <f t="shared" si="2"/>
        <v>1729</v>
      </c>
      <c r="AD31">
        <f t="shared" si="2"/>
        <v>1729</v>
      </c>
      <c r="AE31">
        <f t="shared" si="2"/>
        <v>1729</v>
      </c>
      <c r="AF31">
        <f t="shared" si="2"/>
        <v>1747</v>
      </c>
      <c r="AG31">
        <f t="shared" si="2"/>
        <v>1904</v>
      </c>
      <c r="AH31" s="46"/>
    </row>
    <row r="32" spans="1:37" x14ac:dyDescent="0.25">
      <c r="D32" s="13"/>
      <c r="E32" s="13"/>
      <c r="F32" s="13"/>
      <c r="G32" s="13"/>
      <c r="H32" s="13"/>
    </row>
    <row r="33" spans="3:33" x14ac:dyDescent="0.25">
      <c r="C33">
        <f>C31^2</f>
        <v>2496400</v>
      </c>
      <c r="D33">
        <f t="shared" ref="D33:AG33" si="3">D31^2</f>
        <v>36602500</v>
      </c>
      <c r="E33">
        <f t="shared" si="3"/>
        <v>36602500</v>
      </c>
      <c r="F33">
        <f t="shared" si="3"/>
        <v>36602500</v>
      </c>
      <c r="G33">
        <f t="shared" si="3"/>
        <v>27920656</v>
      </c>
      <c r="H33">
        <f t="shared" si="3"/>
        <v>788544</v>
      </c>
      <c r="I33">
        <f t="shared" si="3"/>
        <v>1580049</v>
      </c>
      <c r="J33">
        <f t="shared" si="3"/>
        <v>31013761</v>
      </c>
      <c r="K33">
        <f t="shared" si="3"/>
        <v>1580049</v>
      </c>
      <c r="L33">
        <f t="shared" si="3"/>
        <v>3097600</v>
      </c>
      <c r="M33">
        <f t="shared" si="3"/>
        <v>3097600</v>
      </c>
      <c r="N33">
        <f t="shared" si="3"/>
        <v>399424</v>
      </c>
      <c r="O33">
        <f t="shared" si="3"/>
        <v>511225</v>
      </c>
      <c r="P33">
        <f t="shared" si="3"/>
        <v>4884100</v>
      </c>
      <c r="Q33">
        <f t="shared" si="3"/>
        <v>23765625</v>
      </c>
      <c r="R33">
        <f t="shared" si="3"/>
        <v>23765625</v>
      </c>
      <c r="S33">
        <f t="shared" si="3"/>
        <v>23765625</v>
      </c>
      <c r="T33">
        <f t="shared" si="3"/>
        <v>7203856</v>
      </c>
      <c r="U33">
        <f t="shared" si="3"/>
        <v>3948169</v>
      </c>
      <c r="V33">
        <f t="shared" si="3"/>
        <v>3948169</v>
      </c>
      <c r="W33">
        <f t="shared" si="3"/>
        <v>11744329</v>
      </c>
      <c r="X33">
        <f t="shared" si="3"/>
        <v>30976</v>
      </c>
      <c r="Y33">
        <f t="shared" si="3"/>
        <v>19881</v>
      </c>
      <c r="Z33">
        <f t="shared" si="3"/>
        <v>47961</v>
      </c>
      <c r="AA33">
        <f t="shared" si="3"/>
        <v>41616</v>
      </c>
      <c r="AB33">
        <f t="shared" si="3"/>
        <v>2989441</v>
      </c>
      <c r="AC33">
        <f t="shared" si="3"/>
        <v>2989441</v>
      </c>
      <c r="AD33">
        <f t="shared" si="3"/>
        <v>2989441</v>
      </c>
      <c r="AE33">
        <f t="shared" si="3"/>
        <v>2989441</v>
      </c>
      <c r="AF33">
        <f t="shared" si="3"/>
        <v>3052009</v>
      </c>
      <c r="AG33">
        <f t="shared" si="3"/>
        <v>3625216</v>
      </c>
    </row>
    <row r="34" spans="3:33" x14ac:dyDescent="0.25">
      <c r="D34" s="13"/>
      <c r="E34" s="13"/>
      <c r="F34" s="13"/>
      <c r="G34" s="13"/>
      <c r="H34" s="13"/>
    </row>
    <row r="35" spans="3:33" x14ac:dyDescent="0.25">
      <c r="D35" s="13"/>
      <c r="E35" s="13"/>
      <c r="F35" s="13"/>
      <c r="G35" s="13"/>
      <c r="H35" s="13"/>
      <c r="N35" t="s">
        <v>221</v>
      </c>
      <c r="O35">
        <f>SUM(C31:AG31)</f>
        <v>77079</v>
      </c>
    </row>
    <row r="36" spans="3:33" x14ac:dyDescent="0.25">
      <c r="D36" s="13"/>
      <c r="E36" s="13"/>
      <c r="F36" s="13"/>
      <c r="G36" s="13"/>
      <c r="H36" s="13" t="s">
        <v>222</v>
      </c>
      <c r="I36" s="46">
        <f>AVERAGE(C31:AG31)</f>
        <v>2486.4193548387098</v>
      </c>
    </row>
    <row r="37" spans="3:33" x14ac:dyDescent="0.25">
      <c r="I37" s="46"/>
      <c r="N37" t="s">
        <v>223</v>
      </c>
      <c r="O37">
        <f>O35^2</f>
        <v>5941172241</v>
      </c>
    </row>
    <row r="38" spans="3:33" x14ac:dyDescent="0.25">
      <c r="H38" t="s">
        <v>224</v>
      </c>
      <c r="I38" s="46">
        <f>STDEVA(C31:AG31)</f>
        <v>1936.001132475453</v>
      </c>
    </row>
    <row r="39" spans="3:33" x14ac:dyDescent="0.25">
      <c r="N39" t="s">
        <v>225</v>
      </c>
      <c r="O39">
        <f>SUM(C33:AG33)</f>
        <v>304093729</v>
      </c>
    </row>
    <row r="40" spans="3:33" x14ac:dyDescent="0.25">
      <c r="H40" t="s">
        <v>226</v>
      </c>
      <c r="I40">
        <v>0.05</v>
      </c>
    </row>
    <row r="41" spans="3:33" x14ac:dyDescent="0.25">
      <c r="O41">
        <v>40</v>
      </c>
    </row>
    <row r="42" spans="3:33" x14ac:dyDescent="0.25">
      <c r="H42" t="s">
        <v>227</v>
      </c>
      <c r="I42">
        <v>1.96</v>
      </c>
    </row>
    <row r="44" spans="3:33" x14ac:dyDescent="0.25">
      <c r="H44" t="s">
        <v>228</v>
      </c>
      <c r="I44" s="46">
        <f>((I38*I42)/(I36*I40))^2</f>
        <v>931.61096715599433</v>
      </c>
      <c r="N44" t="s">
        <v>228</v>
      </c>
      <c r="O44">
        <f>+((O41*SQRT(31*O39-O37))/O35)^2</f>
        <v>938.73282015154439</v>
      </c>
    </row>
    <row r="50" spans="1:10" ht="15.75" customHeight="1" x14ac:dyDescent="0.25">
      <c r="A50" s="257" t="s">
        <v>229</v>
      </c>
      <c r="B50" s="258"/>
      <c r="C50" s="258"/>
      <c r="D50" s="258"/>
      <c r="E50" s="258"/>
      <c r="F50" s="258"/>
      <c r="G50" s="258"/>
      <c r="H50" s="258"/>
      <c r="I50" s="258"/>
      <c r="J50" s="259"/>
    </row>
    <row r="51" spans="1:10" x14ac:dyDescent="0.25">
      <c r="A51" s="260" t="s">
        <v>230</v>
      </c>
      <c r="B51" s="261"/>
      <c r="C51" s="261"/>
      <c r="D51" s="261"/>
      <c r="E51" s="261"/>
      <c r="F51" s="261"/>
      <c r="G51" s="261"/>
      <c r="H51" s="261"/>
      <c r="I51" s="261"/>
      <c r="J51" s="262"/>
    </row>
    <row r="52" spans="1:10" x14ac:dyDescent="0.25">
      <c r="A52" s="260" t="s">
        <v>231</v>
      </c>
      <c r="B52" s="261"/>
      <c r="C52" s="261"/>
      <c r="D52" s="261"/>
      <c r="E52" s="261"/>
      <c r="F52" s="261"/>
      <c r="G52" s="261"/>
      <c r="H52" s="261"/>
      <c r="I52" s="261"/>
      <c r="J52" s="262"/>
    </row>
    <row r="53" spans="1:10" ht="15.75" x14ac:dyDescent="0.25">
      <c r="A53" s="246" t="s">
        <v>202</v>
      </c>
      <c r="B53" s="246" t="s">
        <v>203</v>
      </c>
      <c r="C53" s="253" t="s">
        <v>232</v>
      </c>
      <c r="D53" s="254"/>
      <c r="E53" s="253" t="s">
        <v>233</v>
      </c>
      <c r="F53" s="263"/>
      <c r="G53" s="263"/>
      <c r="H53" s="263"/>
      <c r="I53" s="254"/>
      <c r="J53" s="240" t="s">
        <v>234</v>
      </c>
    </row>
    <row r="54" spans="1:10" ht="15.75" x14ac:dyDescent="0.25">
      <c r="A54" s="244"/>
      <c r="B54" s="244"/>
      <c r="C54" s="57" t="s">
        <v>235</v>
      </c>
      <c r="D54" s="57" t="s">
        <v>236</v>
      </c>
      <c r="E54" s="57" t="s">
        <v>237</v>
      </c>
      <c r="F54" s="57" t="s">
        <v>238</v>
      </c>
      <c r="G54" s="57" t="s">
        <v>239</v>
      </c>
      <c r="H54" s="57" t="s">
        <v>240</v>
      </c>
      <c r="I54" s="57" t="s">
        <v>241</v>
      </c>
      <c r="J54" s="242"/>
    </row>
    <row r="55" spans="1:10" x14ac:dyDescent="0.25">
      <c r="A55" s="42">
        <v>1</v>
      </c>
      <c r="B55" s="42" t="s">
        <v>242</v>
      </c>
      <c r="C55" s="58"/>
      <c r="D55" s="59">
        <v>1</v>
      </c>
      <c r="E55" s="59"/>
      <c r="F55" s="59"/>
      <c r="G55" s="59"/>
      <c r="H55" s="59"/>
      <c r="I55" s="59"/>
      <c r="J55" s="60">
        <f>+AI22</f>
        <v>12.258064516129032</v>
      </c>
    </row>
    <row r="56" spans="1:10" x14ac:dyDescent="0.25">
      <c r="A56" s="42">
        <v>2</v>
      </c>
      <c r="B56" t="s">
        <v>243</v>
      </c>
      <c r="C56" s="59"/>
      <c r="D56" s="59"/>
      <c r="E56" s="59"/>
      <c r="F56" s="61"/>
      <c r="G56" s="59"/>
      <c r="H56" s="59">
        <v>1</v>
      </c>
      <c r="I56" s="59"/>
      <c r="J56" s="60">
        <f t="shared" ref="J56:J63" si="4">+AI23</f>
        <v>64.032258064516128</v>
      </c>
    </row>
    <row r="57" spans="1:10" x14ac:dyDescent="0.25">
      <c r="A57" s="42">
        <v>3</v>
      </c>
      <c r="B57" s="42" t="s">
        <v>208</v>
      </c>
      <c r="C57" s="59"/>
      <c r="D57" s="58">
        <v>1</v>
      </c>
      <c r="E57" s="59"/>
      <c r="F57" s="59"/>
      <c r="G57" s="59"/>
      <c r="H57" s="59"/>
      <c r="I57" s="59"/>
      <c r="J57" s="60">
        <f t="shared" si="4"/>
        <v>93.483870967741936</v>
      </c>
    </row>
    <row r="58" spans="1:10" x14ac:dyDescent="0.25">
      <c r="A58" s="42">
        <v>4</v>
      </c>
      <c r="B58" s="42" t="s">
        <v>209</v>
      </c>
      <c r="C58" s="59"/>
      <c r="D58" s="62">
        <v>1</v>
      </c>
      <c r="E58" s="61"/>
      <c r="F58" s="59"/>
      <c r="G58" s="59"/>
      <c r="H58" s="59"/>
      <c r="I58" s="59"/>
      <c r="J58" s="60">
        <f t="shared" si="4"/>
        <v>66.838709677419359</v>
      </c>
    </row>
    <row r="59" spans="1:10" x14ac:dyDescent="0.25">
      <c r="A59" s="42">
        <v>5</v>
      </c>
      <c r="B59" s="44" t="s">
        <v>210</v>
      </c>
      <c r="C59" s="59">
        <v>1</v>
      </c>
      <c r="D59" s="58"/>
      <c r="E59" s="59"/>
      <c r="F59" s="61"/>
      <c r="G59" s="59"/>
      <c r="H59" s="59"/>
      <c r="I59" s="59"/>
      <c r="J59" s="60">
        <f t="shared" si="4"/>
        <v>3537.7777777777778</v>
      </c>
    </row>
    <row r="60" spans="1:10" x14ac:dyDescent="0.25">
      <c r="A60" s="42">
        <v>6</v>
      </c>
      <c r="B60" s="42" t="s">
        <v>244</v>
      </c>
      <c r="C60" s="59"/>
      <c r="D60" s="59"/>
      <c r="E60" s="59">
        <v>1</v>
      </c>
      <c r="F60" s="59"/>
      <c r="G60" s="59"/>
      <c r="H60" s="59"/>
      <c r="I60" s="59"/>
      <c r="J60" s="60">
        <f t="shared" si="4"/>
        <v>158.45833333333334</v>
      </c>
    </row>
    <row r="61" spans="1:10" x14ac:dyDescent="0.25">
      <c r="A61" s="42">
        <v>7</v>
      </c>
      <c r="B61" s="45" t="s">
        <v>245</v>
      </c>
      <c r="C61" s="59"/>
      <c r="D61" s="63"/>
      <c r="E61" s="59"/>
      <c r="F61" s="59">
        <v>1</v>
      </c>
      <c r="G61" s="63"/>
      <c r="H61" s="59"/>
      <c r="I61" s="59"/>
      <c r="J61" s="60">
        <f t="shared" si="4"/>
        <v>215.83870967741936</v>
      </c>
    </row>
    <row r="62" spans="1:10" x14ac:dyDescent="0.25">
      <c r="A62" s="42">
        <v>8</v>
      </c>
      <c r="B62" s="42" t="s">
        <v>246</v>
      </c>
      <c r="C62" s="59"/>
      <c r="D62" s="58">
        <v>1</v>
      </c>
      <c r="E62" s="59"/>
      <c r="F62" s="59"/>
      <c r="G62" s="63"/>
      <c r="H62" s="59"/>
      <c r="I62" s="59"/>
      <c r="J62" s="60">
        <f t="shared" si="4"/>
        <v>92.258064516129039</v>
      </c>
    </row>
    <row r="63" spans="1:10" x14ac:dyDescent="0.25">
      <c r="A63" s="42">
        <v>9</v>
      </c>
      <c r="B63" s="42" t="s">
        <v>214</v>
      </c>
      <c r="C63" s="59">
        <v>1</v>
      </c>
      <c r="D63" s="59"/>
      <c r="E63" s="59"/>
      <c r="F63" s="59"/>
      <c r="G63" s="59"/>
      <c r="H63" s="59"/>
      <c r="I63" s="59"/>
      <c r="J63" s="60">
        <f t="shared" si="4"/>
        <v>791.93548387096769</v>
      </c>
    </row>
    <row r="64" spans="1:10" ht="15.75" x14ac:dyDescent="0.25">
      <c r="A64" s="253" t="s">
        <v>149</v>
      </c>
      <c r="B64" s="254"/>
      <c r="C64" s="64">
        <f t="shared" ref="C64:J64" si="5">+SUM(C55:C63)</f>
        <v>2</v>
      </c>
      <c r="D64" s="64">
        <f t="shared" si="5"/>
        <v>4</v>
      </c>
      <c r="E64" s="64">
        <f t="shared" si="5"/>
        <v>1</v>
      </c>
      <c r="F64" s="64">
        <f t="shared" si="5"/>
        <v>1</v>
      </c>
      <c r="G64" s="64">
        <f t="shared" si="5"/>
        <v>0</v>
      </c>
      <c r="H64" s="64">
        <f t="shared" si="5"/>
        <v>1</v>
      </c>
      <c r="I64" s="64">
        <f t="shared" si="5"/>
        <v>0</v>
      </c>
      <c r="J64" s="65">
        <f t="shared" si="5"/>
        <v>5032.8812724014333</v>
      </c>
    </row>
    <row r="65" spans="1:10" x14ac:dyDescent="0.25">
      <c r="A65" s="204"/>
      <c r="B65" s="204"/>
      <c r="C65" s="204"/>
      <c r="D65" s="204"/>
      <c r="E65" s="204"/>
      <c r="F65" s="207"/>
      <c r="G65" s="207"/>
      <c r="H65" s="207"/>
      <c r="I65" s="207"/>
      <c r="J65" s="207"/>
    </row>
    <row r="66" spans="1:10" ht="15.75" x14ac:dyDescent="0.25">
      <c r="A66" s="253" t="s">
        <v>247</v>
      </c>
      <c r="B66" s="254"/>
      <c r="C66" s="66" t="s">
        <v>202</v>
      </c>
      <c r="D66" s="66" t="s">
        <v>234</v>
      </c>
      <c r="E66" s="66" t="s">
        <v>5</v>
      </c>
      <c r="F66" s="209"/>
      <c r="G66" s="209"/>
      <c r="H66" s="209"/>
      <c r="I66" s="209"/>
      <c r="J66" s="209"/>
    </row>
    <row r="67" spans="1:10" x14ac:dyDescent="0.25">
      <c r="A67" s="42" t="s">
        <v>235</v>
      </c>
      <c r="B67" s="42" t="s">
        <v>248</v>
      </c>
      <c r="C67" s="67">
        <f>+C64</f>
        <v>2</v>
      </c>
      <c r="D67" s="68">
        <f>J59+J63</f>
        <v>4329.7132616487452</v>
      </c>
      <c r="E67" s="69">
        <f>+(D67/$D$74)</f>
        <v>0.86028519794245562</v>
      </c>
      <c r="F67" s="209"/>
      <c r="G67" s="209"/>
      <c r="H67" s="209"/>
      <c r="I67" s="209"/>
      <c r="J67" s="209"/>
    </row>
    <row r="68" spans="1:10" x14ac:dyDescent="0.25">
      <c r="A68" s="42" t="s">
        <v>249</v>
      </c>
      <c r="B68" s="42" t="s">
        <v>250</v>
      </c>
      <c r="C68" s="67">
        <f>+D64</f>
        <v>4</v>
      </c>
      <c r="D68" s="68">
        <f>J55+J58+J62+J57</f>
        <v>264.83870967741939</v>
      </c>
      <c r="E68" s="69">
        <f t="shared" ref="E68:E74" si="6">+(D68/$D$74)</f>
        <v>5.2621688321896759E-2</v>
      </c>
      <c r="F68" s="209"/>
      <c r="G68" s="209"/>
      <c r="H68" s="209"/>
      <c r="I68" s="209"/>
      <c r="J68" s="209"/>
    </row>
    <row r="69" spans="1:10" x14ac:dyDescent="0.25">
      <c r="A69" s="42" t="s">
        <v>237</v>
      </c>
      <c r="B69" s="42" t="s">
        <v>251</v>
      </c>
      <c r="C69" s="67">
        <v>1</v>
      </c>
      <c r="D69" s="68">
        <f>J60</f>
        <v>158.45833333333334</v>
      </c>
      <c r="E69" s="69">
        <f t="shared" si="6"/>
        <v>3.148461582081493E-2</v>
      </c>
      <c r="F69" s="209"/>
      <c r="G69" s="209"/>
      <c r="H69" s="209"/>
      <c r="I69" s="209"/>
      <c r="J69" s="209"/>
    </row>
    <row r="70" spans="1:10" x14ac:dyDescent="0.25">
      <c r="A70" s="42" t="s">
        <v>238</v>
      </c>
      <c r="B70" s="42" t="s">
        <v>252</v>
      </c>
      <c r="C70" s="67">
        <f>+F64</f>
        <v>1</v>
      </c>
      <c r="D70" s="68">
        <f>J61</f>
        <v>215.83870967741936</v>
      </c>
      <c r="E70" s="69">
        <f t="shared" si="6"/>
        <v>4.2885714562948984E-2</v>
      </c>
      <c r="F70" s="209"/>
      <c r="G70" s="209"/>
      <c r="H70" s="209"/>
      <c r="I70" s="209"/>
      <c r="J70" s="209"/>
    </row>
    <row r="71" spans="1:10" x14ac:dyDescent="0.25">
      <c r="A71" s="42" t="s">
        <v>239</v>
      </c>
      <c r="B71" s="42" t="s">
        <v>253</v>
      </c>
      <c r="C71" s="67">
        <f>+G64</f>
        <v>0</v>
      </c>
      <c r="D71" s="68">
        <v>0</v>
      </c>
      <c r="E71" s="69">
        <f t="shared" si="6"/>
        <v>0</v>
      </c>
      <c r="F71" s="209"/>
      <c r="G71" s="209"/>
      <c r="H71" s="209"/>
      <c r="I71" s="209"/>
      <c r="J71" s="209"/>
    </row>
    <row r="72" spans="1:10" x14ac:dyDescent="0.25">
      <c r="A72" s="42" t="s">
        <v>240</v>
      </c>
      <c r="B72" s="42" t="s">
        <v>254</v>
      </c>
      <c r="C72" s="67">
        <f>+H64</f>
        <v>1</v>
      </c>
      <c r="D72" s="68">
        <f>J56</f>
        <v>64.032258064516128</v>
      </c>
      <c r="E72" s="69">
        <f t="shared" si="6"/>
        <v>1.2722783351883683E-2</v>
      </c>
      <c r="F72" s="209"/>
      <c r="G72" s="209"/>
      <c r="H72" s="209"/>
      <c r="I72" s="209"/>
      <c r="J72" s="209"/>
    </row>
    <row r="73" spans="1:10" x14ac:dyDescent="0.25">
      <c r="A73" s="42" t="s">
        <v>241</v>
      </c>
      <c r="B73" s="42" t="s">
        <v>255</v>
      </c>
      <c r="C73" s="67">
        <f>+I64</f>
        <v>0</v>
      </c>
      <c r="D73" s="68">
        <v>0</v>
      </c>
      <c r="E73" s="69">
        <f t="shared" si="6"/>
        <v>0</v>
      </c>
      <c r="F73" s="209"/>
      <c r="G73" s="209"/>
      <c r="H73" s="209"/>
      <c r="I73" s="209"/>
      <c r="J73" s="209"/>
    </row>
    <row r="74" spans="1:10" ht="15.75" x14ac:dyDescent="0.25">
      <c r="A74" s="70" t="s">
        <v>256</v>
      </c>
      <c r="B74" s="70" t="s">
        <v>149</v>
      </c>
      <c r="C74" s="71">
        <f>+SUM(C67:C73)</f>
        <v>9</v>
      </c>
      <c r="D74" s="72">
        <f>+SUM(D67:D73)</f>
        <v>5032.8812724014333</v>
      </c>
      <c r="E74" s="73">
        <f t="shared" si="6"/>
        <v>1</v>
      </c>
      <c r="F74" s="209"/>
      <c r="G74" s="209"/>
      <c r="H74" s="209"/>
      <c r="I74" s="209"/>
      <c r="J74" s="209"/>
    </row>
    <row r="75" spans="1:10" ht="15.75" x14ac:dyDescent="0.25">
      <c r="A75" s="74" t="s">
        <v>257</v>
      </c>
      <c r="B75" s="255"/>
      <c r="C75" s="255"/>
      <c r="D75" s="75">
        <f>+D67+D68</f>
        <v>4594.5519713261647</v>
      </c>
      <c r="E75" s="208"/>
      <c r="F75" s="209"/>
      <c r="G75" s="209"/>
      <c r="H75" s="209"/>
      <c r="I75" s="209"/>
      <c r="J75" s="209"/>
    </row>
    <row r="76" spans="1:10" ht="15.75" x14ac:dyDescent="0.25">
      <c r="A76" s="76" t="s">
        <v>258</v>
      </c>
      <c r="B76" s="256"/>
      <c r="C76" s="256"/>
      <c r="D76" s="77">
        <f>+(D75/D74)</f>
        <v>0.91290688626435246</v>
      </c>
      <c r="E76" s="208"/>
      <c r="F76" s="209"/>
      <c r="G76" s="209"/>
      <c r="H76" s="209"/>
      <c r="I76" s="209"/>
      <c r="J76" s="209"/>
    </row>
  </sheetData>
  <mergeCells count="215">
    <mergeCell ref="A64:B64"/>
    <mergeCell ref="A65:E65"/>
    <mergeCell ref="F65:J74"/>
    <mergeCell ref="A66:B66"/>
    <mergeCell ref="B75:C75"/>
    <mergeCell ref="E75:J76"/>
    <mergeCell ref="B76:C76"/>
    <mergeCell ref="AF20:AF21"/>
    <mergeCell ref="AG20:AG21"/>
    <mergeCell ref="A50:J50"/>
    <mergeCell ref="A51:J51"/>
    <mergeCell ref="A52:J52"/>
    <mergeCell ref="A53:A54"/>
    <mergeCell ref="B53:B54"/>
    <mergeCell ref="C53:D53"/>
    <mergeCell ref="E53:I53"/>
    <mergeCell ref="J53:J54"/>
    <mergeCell ref="Z20:Z21"/>
    <mergeCell ref="AA20:AA21"/>
    <mergeCell ref="AB20:AB21"/>
    <mergeCell ref="AC20:AC21"/>
    <mergeCell ref="AD20:AD21"/>
    <mergeCell ref="AE20:AE21"/>
    <mergeCell ref="T20:T21"/>
    <mergeCell ref="H20:H21"/>
    <mergeCell ref="I20:I21"/>
    <mergeCell ref="J20:J21"/>
    <mergeCell ref="K20:K21"/>
    <mergeCell ref="L20:L21"/>
    <mergeCell ref="M20:M21"/>
    <mergeCell ref="A18:A21"/>
    <mergeCell ref="B18:B21"/>
    <mergeCell ref="C18:AG19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AH18:AH21"/>
    <mergeCell ref="AI18:AI21"/>
    <mergeCell ref="C20:C21"/>
    <mergeCell ref="D20:D21"/>
    <mergeCell ref="E20:E21"/>
    <mergeCell ref="F20:F21"/>
    <mergeCell ref="G20:G21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F14:AF15"/>
    <mergeCell ref="AG14:AG15"/>
    <mergeCell ref="AA14:AA15"/>
    <mergeCell ref="AB14:AB15"/>
    <mergeCell ref="AC14:AC15"/>
    <mergeCell ref="AD14:AD15"/>
    <mergeCell ref="AE14:AE15"/>
    <mergeCell ref="K14:K15"/>
    <mergeCell ref="L14:L15"/>
    <mergeCell ref="M14:M15"/>
    <mergeCell ref="A16:B17"/>
    <mergeCell ref="C16:C17"/>
    <mergeCell ref="D16:D17"/>
    <mergeCell ref="E16:E17"/>
    <mergeCell ref="F16:F17"/>
    <mergeCell ref="G16:G17"/>
    <mergeCell ref="H16:H17"/>
    <mergeCell ref="I16:I17"/>
    <mergeCell ref="Z14:Z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A14:B15"/>
    <mergeCell ref="C14:C15"/>
    <mergeCell ref="D14:D15"/>
    <mergeCell ref="E14:E15"/>
    <mergeCell ref="F14:F15"/>
    <mergeCell ref="G14:G15"/>
    <mergeCell ref="AB10:AB13"/>
    <mergeCell ref="AC10:AC13"/>
    <mergeCell ref="AD10:AD13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A10:B13"/>
    <mergeCell ref="C10:C13"/>
    <mergeCell ref="D10:D13"/>
    <mergeCell ref="AE10:AE13"/>
    <mergeCell ref="AF10:AF13"/>
    <mergeCell ref="AG10:AG13"/>
    <mergeCell ref="V10:V13"/>
    <mergeCell ref="W10:W13"/>
    <mergeCell ref="X10:X13"/>
    <mergeCell ref="Y10:Y13"/>
    <mergeCell ref="Z10:Z13"/>
    <mergeCell ref="AA10:AA13"/>
    <mergeCell ref="E10:E13"/>
    <mergeCell ref="F10:F13"/>
    <mergeCell ref="G10:G13"/>
    <mergeCell ref="H10:H13"/>
    <mergeCell ref="I10:I13"/>
    <mergeCell ref="Z8:Z9"/>
    <mergeCell ref="T8:T9"/>
    <mergeCell ref="U8:U9"/>
    <mergeCell ref="V8:V9"/>
    <mergeCell ref="W8:W9"/>
    <mergeCell ref="X8:X9"/>
    <mergeCell ref="Y8:Y9"/>
    <mergeCell ref="N8:N9"/>
    <mergeCell ref="O8:O9"/>
    <mergeCell ref="S8:S9"/>
    <mergeCell ref="H8:H9"/>
    <mergeCell ref="I8:I9"/>
    <mergeCell ref="J8:J9"/>
    <mergeCell ref="K8:K9"/>
    <mergeCell ref="L8:L9"/>
    <mergeCell ref="M8:M9"/>
    <mergeCell ref="AF8:AF9"/>
    <mergeCell ref="AG8:AG9"/>
    <mergeCell ref="AA8:AA9"/>
    <mergeCell ref="AB8:AB9"/>
    <mergeCell ref="AC8:AC9"/>
    <mergeCell ref="AD8:AD9"/>
    <mergeCell ref="AE8:AE9"/>
    <mergeCell ref="A8:B9"/>
    <mergeCell ref="C8:C9"/>
    <mergeCell ref="D8:D9"/>
    <mergeCell ref="E8:E9"/>
    <mergeCell ref="F8:F9"/>
    <mergeCell ref="G8:G9"/>
    <mergeCell ref="M6:M7"/>
    <mergeCell ref="N6:N7"/>
    <mergeCell ref="O6:O7"/>
    <mergeCell ref="P8:P9"/>
    <mergeCell ref="Q8:Q9"/>
    <mergeCell ref="R8:R9"/>
    <mergeCell ref="AB6:AB7"/>
    <mergeCell ref="AC6:AC7"/>
    <mergeCell ref="AD6:AD7"/>
    <mergeCell ref="P6:P7"/>
    <mergeCell ref="Q6:Q7"/>
    <mergeCell ref="R6:R7"/>
    <mergeCell ref="S6:S7"/>
    <mergeCell ref="T6:T7"/>
    <mergeCell ref="U6:U7"/>
    <mergeCell ref="A2:B3"/>
    <mergeCell ref="C2:AG3"/>
    <mergeCell ref="A4:B5"/>
    <mergeCell ref="C4:AG5"/>
    <mergeCell ref="A6:B7"/>
    <mergeCell ref="C6:C7"/>
    <mergeCell ref="D6:D7"/>
    <mergeCell ref="E6:E7"/>
    <mergeCell ref="F6:F7"/>
    <mergeCell ref="G6:G7"/>
    <mergeCell ref="H6:H7"/>
    <mergeCell ref="I6:I7"/>
    <mergeCell ref="AE6:AE7"/>
    <mergeCell ref="AF6:AF7"/>
    <mergeCell ref="AG6:AG7"/>
    <mergeCell ref="V6:V7"/>
    <mergeCell ref="W6:W7"/>
    <mergeCell ref="X6:X7"/>
    <mergeCell ref="Y6:Y7"/>
    <mergeCell ref="Z6:Z7"/>
    <mergeCell ref="AA6:AA7"/>
    <mergeCell ref="J6:J7"/>
    <mergeCell ref="K6:K7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4"/>
  <sheetViews>
    <sheetView tabSelected="1" topLeftCell="A8" zoomScale="85" zoomScaleNormal="85" workbookViewId="0">
      <selection activeCell="N24" sqref="N24"/>
    </sheetView>
  </sheetViews>
  <sheetFormatPr baseColWidth="10" defaultRowHeight="20.25" customHeight="1" x14ac:dyDescent="0.25"/>
  <cols>
    <col min="1" max="1" width="5.85546875" customWidth="1"/>
    <col min="2" max="2" width="70.85546875" customWidth="1"/>
    <col min="3" max="4" width="9" customWidth="1"/>
    <col min="5" max="14" width="9.7109375" customWidth="1"/>
    <col min="15" max="20" width="18.7109375" customWidth="1"/>
    <col min="21" max="21" width="17.85546875" customWidth="1"/>
    <col min="22" max="22" width="5.28515625" customWidth="1"/>
    <col min="29" max="29" width="4.5703125" customWidth="1"/>
    <col min="30" max="69" width="6.42578125" customWidth="1"/>
    <col min="70" max="71" width="13.5703125" customWidth="1"/>
  </cols>
  <sheetData>
    <row r="1" spans="1:71" ht="15" x14ac:dyDescent="0.25">
      <c r="A1" s="264" t="s">
        <v>259</v>
      </c>
      <c r="B1" s="264"/>
      <c r="C1" s="264"/>
      <c r="D1" s="264"/>
      <c r="E1" s="264"/>
      <c r="F1" s="264"/>
      <c r="G1" s="264" t="s">
        <v>260</v>
      </c>
      <c r="H1" s="264"/>
      <c r="I1" s="264"/>
      <c r="J1" s="264"/>
      <c r="K1" s="264"/>
      <c r="L1" s="264"/>
      <c r="M1" s="264"/>
      <c r="N1" s="264"/>
      <c r="O1" s="264"/>
      <c r="P1" s="264" t="s">
        <v>261</v>
      </c>
      <c r="Q1" s="264"/>
      <c r="R1" s="264"/>
      <c r="S1" s="264"/>
      <c r="T1" s="264"/>
      <c r="U1" s="264"/>
      <c r="V1" s="264"/>
    </row>
    <row r="2" spans="1:71" ht="15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</row>
    <row r="3" spans="1:71" ht="15" customHeight="1" x14ac:dyDescent="0.25">
      <c r="A3" s="264" t="s">
        <v>262</v>
      </c>
      <c r="B3" s="264"/>
      <c r="C3" s="264"/>
      <c r="D3" s="264"/>
      <c r="E3" s="264"/>
      <c r="F3" s="264"/>
      <c r="G3" s="266" t="s">
        <v>263</v>
      </c>
      <c r="H3" s="266"/>
      <c r="I3" s="266"/>
      <c r="J3" s="266"/>
      <c r="K3" s="266"/>
      <c r="L3" s="266"/>
      <c r="M3" s="266"/>
      <c r="N3" s="266"/>
      <c r="O3" s="266"/>
      <c r="P3" s="264" t="s">
        <v>264</v>
      </c>
      <c r="Q3" s="264"/>
      <c r="R3" s="264"/>
      <c r="S3" s="264"/>
      <c r="T3" s="264"/>
      <c r="U3" s="264"/>
      <c r="V3" s="264"/>
    </row>
    <row r="4" spans="1:71" ht="15" x14ac:dyDescent="0.25">
      <c r="A4" s="264"/>
      <c r="B4" s="264"/>
      <c r="C4" s="264"/>
      <c r="D4" s="264"/>
      <c r="E4" s="264"/>
      <c r="F4" s="264"/>
      <c r="G4" s="266"/>
      <c r="H4" s="266"/>
      <c r="I4" s="266"/>
      <c r="J4" s="266"/>
      <c r="K4" s="266"/>
      <c r="L4" s="266"/>
      <c r="M4" s="266"/>
      <c r="N4" s="266"/>
      <c r="O4" s="266"/>
      <c r="P4" s="264"/>
      <c r="Q4" s="264"/>
      <c r="R4" s="264"/>
      <c r="S4" s="264"/>
      <c r="T4" s="264"/>
      <c r="U4" s="264"/>
      <c r="V4" s="264"/>
    </row>
    <row r="5" spans="1:71" ht="15" x14ac:dyDescent="0.25">
      <c r="A5" s="264" t="s">
        <v>265</v>
      </c>
      <c r="B5" s="264"/>
      <c r="C5" s="264"/>
      <c r="D5" s="264"/>
      <c r="E5" s="264"/>
      <c r="F5" s="264"/>
      <c r="G5" s="264" t="s">
        <v>266</v>
      </c>
      <c r="H5" s="264"/>
      <c r="I5" s="264"/>
      <c r="J5" s="264"/>
      <c r="K5" s="264"/>
      <c r="L5" s="264"/>
      <c r="M5" s="264"/>
      <c r="N5" s="264"/>
      <c r="O5" s="264"/>
      <c r="P5" s="264" t="s">
        <v>267</v>
      </c>
      <c r="Q5" s="264"/>
      <c r="R5" s="264"/>
      <c r="S5" s="264"/>
      <c r="T5" s="264"/>
      <c r="U5" s="264"/>
      <c r="V5" s="264"/>
    </row>
    <row r="6" spans="1:71" ht="15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</row>
    <row r="7" spans="1:71" ht="15" x14ac:dyDescent="0.25">
      <c r="A7" s="265"/>
      <c r="B7" s="265"/>
      <c r="C7" s="265"/>
      <c r="D7" s="265"/>
      <c r="E7" s="265"/>
      <c r="F7" s="265"/>
      <c r="G7" s="264" t="s">
        <v>376</v>
      </c>
      <c r="H7" s="264"/>
      <c r="I7" s="264"/>
      <c r="J7" s="264"/>
      <c r="K7" s="264"/>
      <c r="L7" s="264"/>
      <c r="M7" s="264"/>
      <c r="N7" s="264"/>
      <c r="O7" s="264"/>
      <c r="P7" s="266" t="s">
        <v>268</v>
      </c>
      <c r="Q7" s="264"/>
      <c r="R7" s="264"/>
      <c r="S7" s="264"/>
      <c r="T7" s="264"/>
      <c r="U7" s="264"/>
      <c r="V7" s="264"/>
    </row>
    <row r="8" spans="1:71" ht="15.75" x14ac:dyDescent="0.25">
      <c r="A8" s="265"/>
      <c r="B8" s="265"/>
      <c r="C8" s="265"/>
      <c r="D8" s="265"/>
      <c r="E8" s="265"/>
      <c r="F8" s="265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AC8" s="276"/>
      <c r="AD8" s="8"/>
      <c r="AE8" s="8"/>
      <c r="AF8" s="8"/>
      <c r="AG8" s="8"/>
      <c r="AH8" s="276"/>
      <c r="AI8" s="8"/>
      <c r="AJ8" s="8"/>
      <c r="AK8" s="8"/>
      <c r="AL8" s="8"/>
      <c r="AM8" s="276"/>
      <c r="AN8" s="8"/>
      <c r="AO8" s="8"/>
      <c r="AP8" s="8"/>
      <c r="AQ8" s="8"/>
      <c r="AR8" s="276"/>
      <c r="AS8" s="8"/>
      <c r="AT8" s="8"/>
      <c r="AU8" s="8"/>
      <c r="AV8" s="8"/>
      <c r="AW8" s="276"/>
      <c r="AX8" s="8"/>
      <c r="AY8" s="8"/>
      <c r="AZ8" s="8"/>
      <c r="BA8" s="8"/>
      <c r="BB8" s="276"/>
      <c r="BC8" s="8"/>
      <c r="BD8" s="8"/>
      <c r="BE8" s="8"/>
      <c r="BF8" s="8"/>
      <c r="BG8" s="285"/>
      <c r="BH8" s="78"/>
      <c r="BI8" s="78"/>
      <c r="BJ8" s="78"/>
      <c r="BK8" s="78"/>
      <c r="BL8" s="285"/>
      <c r="BM8" s="78"/>
      <c r="BN8" s="78"/>
      <c r="BO8" s="78"/>
      <c r="BP8" s="78"/>
      <c r="BQ8" s="285"/>
      <c r="BR8" s="267"/>
      <c r="BS8" s="51"/>
    </row>
    <row r="9" spans="1:71" ht="16.5" customHeight="1" x14ac:dyDescent="0.25">
      <c r="A9" s="268" t="s">
        <v>202</v>
      </c>
      <c r="B9" s="269" t="s">
        <v>203</v>
      </c>
      <c r="C9" s="269" t="s">
        <v>269</v>
      </c>
      <c r="D9" s="269" t="s">
        <v>270</v>
      </c>
      <c r="E9" s="271" t="s">
        <v>204</v>
      </c>
      <c r="F9" s="272"/>
      <c r="G9" s="272"/>
      <c r="H9" s="272"/>
      <c r="I9" s="272"/>
      <c r="J9" s="272"/>
      <c r="K9" s="272"/>
      <c r="L9" s="272"/>
      <c r="M9" s="272"/>
      <c r="N9" s="273"/>
      <c r="O9" s="79" t="s">
        <v>205</v>
      </c>
      <c r="P9" s="79" t="s">
        <v>271</v>
      </c>
      <c r="Q9" s="79" t="s">
        <v>272</v>
      </c>
      <c r="R9" s="79" t="s">
        <v>273</v>
      </c>
      <c r="S9" s="79" t="s">
        <v>274</v>
      </c>
      <c r="T9" s="79" t="s">
        <v>275</v>
      </c>
      <c r="U9" s="274" t="s">
        <v>276</v>
      </c>
      <c r="V9" s="275"/>
      <c r="AC9" s="276"/>
      <c r="AD9" s="8"/>
      <c r="AE9" s="8"/>
      <c r="AF9" s="8"/>
      <c r="AG9" s="8"/>
      <c r="AH9" s="276"/>
      <c r="AI9" s="8"/>
      <c r="AJ9" s="8"/>
      <c r="AK9" s="8"/>
      <c r="AL9" s="8"/>
      <c r="AM9" s="276"/>
      <c r="AN9" s="8"/>
      <c r="AO9" s="8"/>
      <c r="AP9" s="8"/>
      <c r="AQ9" s="8"/>
      <c r="AR9" s="276"/>
      <c r="AS9" s="8"/>
      <c r="AT9" s="8"/>
      <c r="AU9" s="8"/>
      <c r="AV9" s="8"/>
      <c r="AW9" s="276"/>
      <c r="AX9" s="8"/>
      <c r="AY9" s="8"/>
      <c r="AZ9" s="8"/>
      <c r="BA9" s="8"/>
      <c r="BB9" s="276"/>
      <c r="BC9" s="8"/>
      <c r="BD9" s="8"/>
      <c r="BE9" s="8"/>
      <c r="BF9" s="8"/>
      <c r="BG9" s="285"/>
      <c r="BH9" s="78"/>
      <c r="BI9" s="78"/>
      <c r="BJ9" s="78"/>
      <c r="BK9" s="78"/>
      <c r="BL9" s="285"/>
      <c r="BM9" s="78"/>
      <c r="BN9" s="78"/>
      <c r="BO9" s="78"/>
      <c r="BP9" s="78"/>
      <c r="BQ9" s="285"/>
      <c r="BR9" s="267"/>
      <c r="BS9" s="51"/>
    </row>
    <row r="10" spans="1:71" ht="15" customHeight="1" x14ac:dyDescent="0.25">
      <c r="A10" s="268"/>
      <c r="B10" s="270"/>
      <c r="C10" s="270"/>
      <c r="D10" s="270"/>
      <c r="E10" s="80">
        <v>1</v>
      </c>
      <c r="F10" s="80">
        <v>2</v>
      </c>
      <c r="G10" s="80">
        <v>3</v>
      </c>
      <c r="H10" s="80">
        <v>4</v>
      </c>
      <c r="I10" s="80">
        <v>5</v>
      </c>
      <c r="J10" s="80">
        <v>6</v>
      </c>
      <c r="K10" s="80">
        <v>7</v>
      </c>
      <c r="L10" s="80">
        <v>8</v>
      </c>
      <c r="M10" s="80">
        <v>9</v>
      </c>
      <c r="N10" s="80">
        <v>10</v>
      </c>
      <c r="O10" s="79"/>
      <c r="P10" s="79"/>
      <c r="Q10" s="81"/>
      <c r="R10" s="79"/>
      <c r="S10" s="277">
        <f>0.05+0.04+0.02</f>
        <v>0.11</v>
      </c>
      <c r="T10" s="277"/>
      <c r="U10" s="82"/>
      <c r="V10" s="82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5" x14ac:dyDescent="0.25">
      <c r="A11" s="85">
        <v>1</v>
      </c>
      <c r="B11" s="42" t="s">
        <v>277</v>
      </c>
      <c r="C11" s="42"/>
      <c r="D11" s="42" t="s">
        <v>278</v>
      </c>
      <c r="E11" s="86">
        <v>1.570034722222222E-2</v>
      </c>
      <c r="F11" s="86">
        <v>1.4475578703703704E-2</v>
      </c>
      <c r="G11" s="86">
        <v>1.5067245370370371E-2</v>
      </c>
      <c r="H11" s="86">
        <v>1.5738541666666665E-2</v>
      </c>
      <c r="I11" s="86">
        <v>1.5529050925925927E-2</v>
      </c>
      <c r="J11" s="86">
        <v>1.4493171296296297E-2</v>
      </c>
      <c r="K11" s="86">
        <v>1.4332870370370371E-2</v>
      </c>
      <c r="L11" s="86">
        <v>1.443611111111111E-2</v>
      </c>
      <c r="M11" s="86">
        <v>1.4565740740740742E-2</v>
      </c>
      <c r="N11" s="86">
        <v>1.3334722222222222E-2</v>
      </c>
      <c r="O11" s="86">
        <f>+STDEVA(E11:N11)</f>
        <v>7.4801124816381668E-4</v>
      </c>
      <c r="P11" s="43"/>
      <c r="Q11" s="81">
        <f>0.03+0+0-0.02+1</f>
        <v>1.01</v>
      </c>
      <c r="R11" s="43"/>
      <c r="S11" s="278"/>
      <c r="T11" s="278"/>
      <c r="U11" s="43"/>
      <c r="V11" s="43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</row>
    <row r="12" spans="1:71" ht="15" x14ac:dyDescent="0.25">
      <c r="A12" s="85"/>
      <c r="B12" s="42"/>
      <c r="C12" s="42"/>
      <c r="D12" s="42"/>
      <c r="E12" s="56">
        <f>+(22*60)+36.51</f>
        <v>1356.51</v>
      </c>
      <c r="F12" s="56">
        <f>+(20*60)+50.69</f>
        <v>1250.69</v>
      </c>
      <c r="G12" s="56">
        <f>+(21*60)+41.81</f>
        <v>1301.81</v>
      </c>
      <c r="H12" s="56">
        <f>+(22*60)+39.81</f>
        <v>1359.81</v>
      </c>
      <c r="I12" s="56">
        <f>+(22*60)+21.72</f>
        <v>1341.72</v>
      </c>
      <c r="J12" s="56">
        <f>+(20*60)+52.21</f>
        <v>1252.21</v>
      </c>
      <c r="K12" s="56">
        <f>+(20*60)+38.36</f>
        <v>1238.3599999999999</v>
      </c>
      <c r="L12" s="56">
        <f>+(20*60)+47.28</f>
        <v>1247.28</v>
      </c>
      <c r="M12" s="56">
        <f>+(20*60)+58.48</f>
        <v>1258.48</v>
      </c>
      <c r="N12" s="56">
        <f>+(19*60)+12.12</f>
        <v>1152.1199999999999</v>
      </c>
      <c r="O12" s="86"/>
      <c r="P12" s="43"/>
      <c r="Q12" s="81"/>
      <c r="R12" s="43"/>
      <c r="S12" s="278"/>
      <c r="T12" s="278"/>
      <c r="U12" s="43"/>
      <c r="V12" s="43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</row>
    <row r="13" spans="1:71" ht="15" x14ac:dyDescent="0.25">
      <c r="A13" s="87">
        <v>2</v>
      </c>
      <c r="B13" s="42" t="s">
        <v>279</v>
      </c>
      <c r="C13" s="42" t="s">
        <v>278</v>
      </c>
      <c r="D13" s="42"/>
      <c r="E13" s="86">
        <v>4.6245370370370372E-3</v>
      </c>
      <c r="F13" s="86">
        <v>6.9306712962962968E-3</v>
      </c>
      <c r="G13" s="86">
        <v>1.2159143518518517E-2</v>
      </c>
      <c r="H13" s="86">
        <v>6.2145833333333332E-3</v>
      </c>
      <c r="I13" s="86">
        <v>3.7246527777777781E-3</v>
      </c>
      <c r="J13" s="86">
        <v>2.6184027777777781E-3</v>
      </c>
      <c r="K13" s="86">
        <v>3.2092592592592594E-3</v>
      </c>
      <c r="L13" s="86">
        <v>5.016550925925926E-3</v>
      </c>
      <c r="M13" s="86">
        <v>3.1006944444444441E-3</v>
      </c>
      <c r="N13" s="86">
        <v>3.2686342592592589E-3</v>
      </c>
      <c r="O13" s="86">
        <f t="shared" ref="O13:O21" si="0">+STDEVA(E13:N13)</f>
        <v>2.860309859383871E-3</v>
      </c>
      <c r="P13" s="43"/>
      <c r="Q13" s="81">
        <f>0+0+0-0.02+1</f>
        <v>0.98</v>
      </c>
      <c r="R13" s="43"/>
      <c r="S13" s="278"/>
      <c r="T13" s="278"/>
      <c r="U13" s="43"/>
      <c r="V13" s="43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</row>
    <row r="14" spans="1:71" ht="15" x14ac:dyDescent="0.25">
      <c r="A14" s="85"/>
      <c r="B14" s="42"/>
      <c r="C14" s="42"/>
      <c r="D14" s="42"/>
      <c r="E14" s="56">
        <f>+(6*60)+39.56</f>
        <v>399.56</v>
      </c>
      <c r="F14" s="56">
        <f>+(9*60)+58.81</f>
        <v>598.80999999999995</v>
      </c>
      <c r="G14" s="56">
        <f>+(17*60)+30.55</f>
        <v>1050.55</v>
      </c>
      <c r="H14" s="56">
        <f>+(8*60)+56.94</f>
        <v>536.94000000000005</v>
      </c>
      <c r="I14" s="56">
        <f>+(5*60)+21.81</f>
        <v>321.81</v>
      </c>
      <c r="J14" s="56">
        <f>+(3*60)+46.23</f>
        <v>226.23</v>
      </c>
      <c r="K14" s="56">
        <f>+(4*60)+37.28</f>
        <v>277.27999999999997</v>
      </c>
      <c r="L14" s="56">
        <f>+(7*60)+13.43</f>
        <v>433.43</v>
      </c>
      <c r="M14" s="56">
        <f>+(4*60)+27.9</f>
        <v>267.89999999999998</v>
      </c>
      <c r="N14" s="56">
        <f>+(4*60)+42.41</f>
        <v>282.40999999999997</v>
      </c>
      <c r="O14" s="86"/>
      <c r="P14" s="43"/>
      <c r="Q14" s="81"/>
      <c r="R14" s="43"/>
      <c r="S14" s="278"/>
      <c r="T14" s="278"/>
      <c r="U14" s="43"/>
      <c r="V14" s="43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</row>
    <row r="15" spans="1:71" ht="15" x14ac:dyDescent="0.25">
      <c r="A15" s="85">
        <v>3</v>
      </c>
      <c r="B15" s="42" t="s">
        <v>280</v>
      </c>
      <c r="C15" s="42" t="s">
        <v>278</v>
      </c>
      <c r="D15" s="42"/>
      <c r="E15" s="88">
        <v>0.26327546296296295</v>
      </c>
      <c r="F15" s="93">
        <v>0.25540509259259259</v>
      </c>
      <c r="G15" s="90">
        <v>0.25615740740740739</v>
      </c>
      <c r="H15" s="90">
        <v>0.26392361111111112</v>
      </c>
      <c r="I15" s="90">
        <v>0.2636574074074074</v>
      </c>
      <c r="J15" s="90">
        <v>0.26518518518518519</v>
      </c>
      <c r="K15" s="90">
        <v>0.26321759259259259</v>
      </c>
      <c r="L15" s="90">
        <v>0.26501157407407411</v>
      </c>
      <c r="M15" s="90">
        <v>0.26822916666666669</v>
      </c>
      <c r="N15" s="90">
        <v>0.26866898148148149</v>
      </c>
      <c r="O15" s="86">
        <f t="shared" si="0"/>
        <v>4.3902551278095598E-3</v>
      </c>
      <c r="P15" s="43"/>
      <c r="Q15" s="81">
        <f>0+1</f>
        <v>1</v>
      </c>
      <c r="R15" s="43"/>
      <c r="S15" s="278"/>
      <c r="T15" s="278"/>
      <c r="U15" s="43"/>
      <c r="V15" s="43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</row>
    <row r="16" spans="1:71" ht="15" x14ac:dyDescent="0.25">
      <c r="A16" s="85"/>
      <c r="B16" s="42"/>
      <c r="C16" s="42"/>
      <c r="D16" s="42"/>
      <c r="E16" s="56">
        <f>+(6*3600)+(19*60)+7</f>
        <v>22747</v>
      </c>
      <c r="F16" s="56">
        <f>+(6*3600)+(7*60)+47</f>
        <v>22067</v>
      </c>
      <c r="G16" s="56">
        <f>+(6*3600)+(8*60)+52</f>
        <v>22132</v>
      </c>
      <c r="H16" s="56">
        <f>+(6*3600)+(20*60)+3</f>
        <v>22803</v>
      </c>
      <c r="I16" s="56">
        <f>+(6*3600)+(19*60)+40</f>
        <v>22780</v>
      </c>
      <c r="J16" s="56">
        <f>+(6*3600)+(21*60)+52</f>
        <v>22912</v>
      </c>
      <c r="K16" s="56">
        <f>+(6*3600)+(19*60)+2</f>
        <v>22742</v>
      </c>
      <c r="L16" s="56">
        <f>+(6*3600)+(21*60)+37</f>
        <v>22897</v>
      </c>
      <c r="M16" s="56">
        <f>+(6*3600)+(26*60)+15</f>
        <v>23175</v>
      </c>
      <c r="N16" s="56">
        <f>+(6*3600)+(26*60)+53</f>
        <v>23213</v>
      </c>
      <c r="O16" s="86"/>
      <c r="P16" s="43"/>
      <c r="Q16" s="81"/>
      <c r="R16" s="43"/>
      <c r="S16" s="278"/>
      <c r="T16" s="278"/>
      <c r="U16" s="43"/>
      <c r="V16" s="43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</row>
    <row r="17" spans="1:71" ht="15" x14ac:dyDescent="0.25">
      <c r="A17" s="87">
        <v>4</v>
      </c>
      <c r="B17" s="42" t="s">
        <v>281</v>
      </c>
      <c r="C17" s="42" t="s">
        <v>278</v>
      </c>
      <c r="D17" s="42"/>
      <c r="E17" s="91">
        <v>4.317129629629629E-4</v>
      </c>
      <c r="F17" s="91">
        <v>5.9224537037037036E-4</v>
      </c>
      <c r="G17" s="91">
        <v>3.3310185185185184E-4</v>
      </c>
      <c r="H17" s="91">
        <v>5.3530092592592594E-4</v>
      </c>
      <c r="I17" s="91">
        <v>5.3067129629629634E-4</v>
      </c>
      <c r="J17" s="91">
        <v>4.8379629629629624E-4</v>
      </c>
      <c r="K17" s="91">
        <v>5.3854166666666666E-4</v>
      </c>
      <c r="L17" s="91">
        <v>3.34837962962963E-4</v>
      </c>
      <c r="M17" s="91">
        <v>5.4282407407407404E-4</v>
      </c>
      <c r="N17" s="91">
        <v>5.9259259259259258E-4</v>
      </c>
      <c r="O17" s="86">
        <f t="shared" si="0"/>
        <v>9.5414940273915442E-5</v>
      </c>
      <c r="P17" s="43"/>
      <c r="Q17" s="81">
        <f>0+0+0+-0.02+1</f>
        <v>0.98</v>
      </c>
      <c r="R17" s="43"/>
      <c r="S17" s="278"/>
      <c r="T17" s="278"/>
      <c r="U17" s="43"/>
      <c r="V17" s="43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</row>
    <row r="18" spans="1:71" ht="15" x14ac:dyDescent="0.25">
      <c r="A18" s="85"/>
      <c r="B18" s="42"/>
      <c r="C18" s="42"/>
      <c r="D18" s="42"/>
      <c r="E18" s="92">
        <v>37.299999999999997</v>
      </c>
      <c r="F18" s="92">
        <v>51.2</v>
      </c>
      <c r="G18" s="92">
        <v>28.8</v>
      </c>
      <c r="H18" s="92">
        <v>46.3</v>
      </c>
      <c r="I18" s="92">
        <v>45.8</v>
      </c>
      <c r="J18" s="92">
        <v>41.8</v>
      </c>
      <c r="K18" s="92">
        <v>46.5</v>
      </c>
      <c r="L18" s="92">
        <v>28.9</v>
      </c>
      <c r="M18" s="92">
        <v>46.9</v>
      </c>
      <c r="N18" s="92">
        <v>51.2</v>
      </c>
      <c r="O18" s="86"/>
      <c r="P18" s="43"/>
      <c r="Q18" s="81"/>
      <c r="R18" s="43"/>
      <c r="S18" s="278"/>
      <c r="T18" s="278"/>
      <c r="U18" s="43"/>
      <c r="V18" s="43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</row>
    <row r="19" spans="1:71" ht="15" x14ac:dyDescent="0.25">
      <c r="A19" s="85">
        <v>5</v>
      </c>
      <c r="B19" s="42" t="s">
        <v>282</v>
      </c>
      <c r="C19" s="42" t="s">
        <v>278</v>
      </c>
      <c r="D19" s="42"/>
      <c r="E19" s="86">
        <v>1.6732523148148149E-2</v>
      </c>
      <c r="F19" s="86">
        <v>1.1016550925925926E-2</v>
      </c>
      <c r="G19" s="86">
        <v>1.1788657407407407E-2</v>
      </c>
      <c r="H19" s="86">
        <v>1.0504398148148146E-2</v>
      </c>
      <c r="I19" s="86">
        <v>1.1172222222222222E-2</v>
      </c>
      <c r="J19" s="86">
        <v>1.0989351851851853E-2</v>
      </c>
      <c r="K19" s="86">
        <v>1.3420486111111114E-2</v>
      </c>
      <c r="L19" s="86">
        <v>1.2939814814814814E-2</v>
      </c>
      <c r="M19" s="86">
        <v>1.1484837962962962E-2</v>
      </c>
      <c r="N19" s="86">
        <v>1.0348958333333333E-2</v>
      </c>
      <c r="O19" s="86">
        <f t="shared" si="0"/>
        <v>1.9214751965413186E-3</v>
      </c>
      <c r="P19" s="43"/>
      <c r="Q19" s="81">
        <f>0.03+0+0+0+1</f>
        <v>1.03</v>
      </c>
      <c r="R19" s="43"/>
      <c r="S19" s="278"/>
      <c r="T19" s="278"/>
      <c r="U19" s="43"/>
      <c r="V19" s="43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</row>
    <row r="20" spans="1:71" ht="15" x14ac:dyDescent="0.25">
      <c r="C20" s="43"/>
      <c r="D20" s="43"/>
      <c r="E20" s="56">
        <f>+(24*60)+5.69</f>
        <v>1445.69</v>
      </c>
      <c r="F20" s="56">
        <f>+(20*60)+51.83</f>
        <v>1251.83</v>
      </c>
      <c r="G20" s="56">
        <f>+(16*60)+58.54</f>
        <v>1018.54</v>
      </c>
      <c r="H20" s="56">
        <f>+(15*60)+7.58</f>
        <v>907.58</v>
      </c>
      <c r="I20" s="56">
        <f>+(16*60)+5.28</f>
        <v>965.28</v>
      </c>
      <c r="J20" s="56">
        <f>+(15*60)+49.48</f>
        <v>949.48</v>
      </c>
      <c r="K20" s="56">
        <f>+(19*60)+19.53</f>
        <v>1159.53</v>
      </c>
      <c r="L20" s="56">
        <f>+(18*60)+38</f>
        <v>1118</v>
      </c>
      <c r="M20" s="56">
        <f>+(16*32)+29</f>
        <v>541</v>
      </c>
      <c r="N20" s="56">
        <f>+(14*60)+54.15</f>
        <v>894.15</v>
      </c>
      <c r="O20" s="86"/>
      <c r="P20" s="43"/>
      <c r="R20" s="43"/>
      <c r="S20" s="278"/>
      <c r="T20" s="278"/>
      <c r="U20" s="43"/>
      <c r="V20" s="43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ht="15" x14ac:dyDescent="0.25">
      <c r="A21" s="87">
        <v>6</v>
      </c>
      <c r="B21" s="42" t="s">
        <v>283</v>
      </c>
      <c r="C21" s="42" t="s">
        <v>278</v>
      </c>
      <c r="D21" s="42"/>
      <c r="E21" s="93">
        <v>1.5648148148148151E-2</v>
      </c>
      <c r="F21" s="93">
        <v>3.1006944444444445E-2</v>
      </c>
      <c r="G21" s="93">
        <v>1.8136574074074072E-2</v>
      </c>
      <c r="H21" s="93">
        <v>9.2534722222222213E-2</v>
      </c>
      <c r="I21" s="93">
        <v>7.8645833333333331E-2</v>
      </c>
      <c r="J21" s="93">
        <v>6.3668981481481479E-2</v>
      </c>
      <c r="K21" s="93">
        <v>4.8402777777777774E-2</v>
      </c>
      <c r="L21" s="93">
        <v>2.9953703703703705E-2</v>
      </c>
      <c r="M21" s="93">
        <v>1.6921296296296299E-2</v>
      </c>
      <c r="N21" s="93">
        <v>4.2708333333333339E-3</v>
      </c>
      <c r="O21" s="86">
        <f t="shared" si="0"/>
        <v>2.9713790861807081E-2</v>
      </c>
      <c r="P21" s="43"/>
      <c r="Q21" s="81">
        <f>0+0+0-0.04+1</f>
        <v>0.96</v>
      </c>
      <c r="R21" s="43"/>
      <c r="S21" s="279"/>
      <c r="T21" s="279"/>
      <c r="U21" s="43"/>
      <c r="V21" s="43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</row>
    <row r="22" spans="1:71" ht="13.5" customHeight="1" x14ac:dyDescent="0.25">
      <c r="A22" s="94"/>
      <c r="E22" s="56">
        <f>+(22*60)+32</f>
        <v>1352</v>
      </c>
      <c r="F22" s="56">
        <f>+(44*60)+39</f>
        <v>2679</v>
      </c>
      <c r="G22" s="56">
        <f>+(26*60)+7</f>
        <v>1567</v>
      </c>
      <c r="H22" s="56">
        <f>+(2*3600)+(13*60)+15</f>
        <v>7995</v>
      </c>
      <c r="I22" s="56">
        <f>+(1*3600)+(53*60)+15</f>
        <v>6795</v>
      </c>
      <c r="J22" s="56">
        <f>+(1*3600)+(31*60)+41</f>
        <v>5501</v>
      </c>
      <c r="K22" s="56">
        <f>+(1*3600)+(9*60)+42</f>
        <v>4182</v>
      </c>
      <c r="L22" s="56">
        <f>+(43*60)+8</f>
        <v>2588</v>
      </c>
      <c r="M22" s="56">
        <f>+(24*60)+22</f>
        <v>1462</v>
      </c>
      <c r="N22" s="56">
        <f>+(6*60)+9</f>
        <v>369</v>
      </c>
      <c r="O22" s="86"/>
      <c r="R22" s="43"/>
      <c r="S22" s="43"/>
      <c r="T22" s="43"/>
      <c r="BJ22" s="51"/>
      <c r="BK22" s="51"/>
      <c r="BL22" s="51"/>
      <c r="BM22" s="51"/>
      <c r="BN22" s="51"/>
      <c r="BO22" s="51"/>
      <c r="BP22" s="51"/>
      <c r="BQ22" s="51"/>
      <c r="BR22" s="51"/>
      <c r="BS22" s="51"/>
    </row>
    <row r="23" spans="1:71" ht="13.5" customHeight="1" x14ac:dyDescent="0.25">
      <c r="E23" s="95">
        <f t="shared" ref="E23:M24" si="1">+E11+E13+E15+E17+E19+E21</f>
        <v>0.31641273148148147</v>
      </c>
      <c r="F23" s="95">
        <f t="shared" si="1"/>
        <v>0.31942708333333336</v>
      </c>
      <c r="G23" s="95">
        <f t="shared" si="1"/>
        <v>0.31364212962962967</v>
      </c>
      <c r="H23" s="95">
        <f t="shared" si="1"/>
        <v>0.38945115740740738</v>
      </c>
      <c r="I23" s="95">
        <f t="shared" si="1"/>
        <v>0.37325983796296291</v>
      </c>
      <c r="J23" s="95">
        <f t="shared" si="1"/>
        <v>0.35743888888888892</v>
      </c>
      <c r="K23" s="95">
        <f t="shared" si="1"/>
        <v>0.34312152777777782</v>
      </c>
      <c r="L23" s="95">
        <f t="shared" si="1"/>
        <v>0.32769259259259265</v>
      </c>
      <c r="M23" s="95">
        <f t="shared" si="1"/>
        <v>0.3148445601851852</v>
      </c>
      <c r="N23" s="95">
        <f>+N11+N13+N15+N17+N19+N21</f>
        <v>0.30048472222222222</v>
      </c>
      <c r="BJ23" s="51"/>
      <c r="BK23" s="51"/>
      <c r="BL23" s="51"/>
      <c r="BM23" s="51"/>
      <c r="BN23" s="51"/>
      <c r="BO23" s="51"/>
      <c r="BP23" s="51"/>
      <c r="BQ23" s="51"/>
      <c r="BR23" s="51"/>
      <c r="BS23" s="51"/>
    </row>
    <row r="24" spans="1:71" ht="13.5" customHeight="1" x14ac:dyDescent="0.25">
      <c r="D24" t="s">
        <v>278</v>
      </c>
      <c r="E24" s="46">
        <f>+E12+E14+E16+E18+E20+E22</f>
        <v>27338.059999999998</v>
      </c>
      <c r="F24" s="46">
        <f>+F12+F14+F16+F18+F20+F22</f>
        <v>27898.53</v>
      </c>
      <c r="G24" s="46">
        <f t="shared" si="1"/>
        <v>27098.7</v>
      </c>
      <c r="H24" s="46">
        <f t="shared" si="1"/>
        <v>33648.630000000005</v>
      </c>
      <c r="I24" s="46">
        <f t="shared" si="1"/>
        <v>32249.609999999997</v>
      </c>
      <c r="J24" s="46">
        <f t="shared" si="1"/>
        <v>30882.719999999998</v>
      </c>
      <c r="K24" s="46">
        <f t="shared" si="1"/>
        <v>29645.67</v>
      </c>
      <c r="L24" s="46">
        <f t="shared" si="1"/>
        <v>28312.61</v>
      </c>
      <c r="M24" s="46">
        <f t="shared" si="1"/>
        <v>26751.280000000002</v>
      </c>
      <c r="N24" s="46">
        <f>+N12+N14+N16+N18+N20+N22</f>
        <v>25961.88</v>
      </c>
      <c r="BJ24" s="51"/>
      <c r="BK24" s="51"/>
      <c r="BL24" s="51"/>
      <c r="BM24" s="51"/>
      <c r="BN24" s="51"/>
      <c r="BO24" s="51"/>
      <c r="BP24" s="51"/>
      <c r="BQ24" s="51"/>
      <c r="BR24" s="51"/>
      <c r="BS24" s="51"/>
    </row>
    <row r="25" spans="1:71" ht="13.5" customHeight="1" x14ac:dyDescent="0.25">
      <c r="E25">
        <f>+E24^2</f>
        <v>747369524.56359982</v>
      </c>
      <c r="F25">
        <f t="shared" ref="F25:N25" si="2">+F24^2</f>
        <v>778327976.16089988</v>
      </c>
      <c r="G25">
        <f t="shared" si="2"/>
        <v>734339541.69000006</v>
      </c>
      <c r="H25">
        <f t="shared" si="2"/>
        <v>1132230300.8769002</v>
      </c>
      <c r="I25">
        <f t="shared" si="2"/>
        <v>1040037345.1520998</v>
      </c>
      <c r="J25">
        <f t="shared" si="2"/>
        <v>953742394.59839988</v>
      </c>
      <c r="K25">
        <f t="shared" si="2"/>
        <v>878865749.74889994</v>
      </c>
      <c r="L25">
        <f t="shared" si="2"/>
        <v>801603885.01209998</v>
      </c>
      <c r="M25">
        <f t="shared" si="2"/>
        <v>715630981.63840008</v>
      </c>
      <c r="N25">
        <f t="shared" si="2"/>
        <v>674019213.13440001</v>
      </c>
      <c r="P25" t="s">
        <v>278</v>
      </c>
      <c r="Q25" s="95">
        <f>+AVERAGE(E23:N23)</f>
        <v>0.33557752314814815</v>
      </c>
      <c r="R25" s="46">
        <f>+AVERAGE(E24:N24)</f>
        <v>28978.769</v>
      </c>
      <c r="S25" s="46">
        <f>+AVERAGE(E66:N66)</f>
        <v>482.97948333333341</v>
      </c>
    </row>
    <row r="26" spans="1:71" ht="13.5" customHeight="1" x14ac:dyDescent="0.25">
      <c r="E26" s="51"/>
      <c r="F26" s="51"/>
      <c r="G26" s="51"/>
      <c r="P26" t="s">
        <v>226</v>
      </c>
      <c r="Q26">
        <v>0.1</v>
      </c>
      <c r="R26">
        <v>0.1</v>
      </c>
      <c r="S26" s="46">
        <v>0.1</v>
      </c>
    </row>
    <row r="27" spans="1:71" ht="13.5" customHeight="1" x14ac:dyDescent="0.25">
      <c r="E27" s="51"/>
      <c r="F27" s="96"/>
      <c r="G27" s="51"/>
      <c r="J27" s="97"/>
      <c r="M27" s="97"/>
      <c r="N27" s="97"/>
      <c r="O27" t="s">
        <v>284</v>
      </c>
      <c r="P27" t="s">
        <v>285</v>
      </c>
      <c r="Q27" s="95">
        <f>+STDEVA(E23:N23)</f>
        <v>2.9230837275750595E-2</v>
      </c>
      <c r="R27" s="46">
        <f>+STDEVA(E24:N24)</f>
        <v>2548.9951183879416</v>
      </c>
      <c r="S27" s="46">
        <f>+STDEVA(E66:N66)</f>
        <v>42.483251973132361</v>
      </c>
    </row>
    <row r="28" spans="1:71" ht="13.5" customHeight="1" x14ac:dyDescent="0.25">
      <c r="E28" s="51"/>
      <c r="F28" s="51"/>
      <c r="G28" s="51"/>
      <c r="J28" s="97"/>
      <c r="P28" t="s">
        <v>286</v>
      </c>
      <c r="Q28">
        <v>2.262</v>
      </c>
      <c r="R28">
        <v>2.262</v>
      </c>
      <c r="S28" s="46">
        <v>2.262</v>
      </c>
      <c r="U28">
        <v>20</v>
      </c>
    </row>
    <row r="29" spans="1:71" ht="13.5" customHeight="1" x14ac:dyDescent="0.25">
      <c r="E29" s="95"/>
      <c r="G29" s="97"/>
      <c r="J29" s="97"/>
      <c r="M29" s="97"/>
      <c r="N29" s="97"/>
      <c r="P29" t="s">
        <v>228</v>
      </c>
      <c r="Q29" s="46">
        <f>((Q27*Q28)/(Q26*Q25))^2</f>
        <v>3.8822364536094707</v>
      </c>
      <c r="R29" s="46">
        <f>((R27*R28)/(R26*R25))^2</f>
        <v>3.9587980050157059</v>
      </c>
      <c r="S29" s="46">
        <f>((S27*S28)/(S26*S25))^2</f>
        <v>3.958798005015705</v>
      </c>
    </row>
    <row r="30" spans="1:71" ht="13.5" customHeight="1" x14ac:dyDescent="0.25">
      <c r="E30" s="95"/>
      <c r="G30" s="97"/>
      <c r="J30" s="97"/>
      <c r="T30" s="98" t="s">
        <v>287</v>
      </c>
      <c r="U30" s="46">
        <f>SUM(E24:N24)</f>
        <v>289787.69</v>
      </c>
    </row>
    <row r="31" spans="1:71" ht="13.5" customHeight="1" x14ac:dyDescent="0.25">
      <c r="E31" s="97">
        <v>0.53315972222222219</v>
      </c>
      <c r="G31" s="97">
        <v>0.53501157407407407</v>
      </c>
      <c r="T31" s="98" t="s">
        <v>288</v>
      </c>
      <c r="U31" s="46">
        <f>U30^2</f>
        <v>83976905275.536102</v>
      </c>
    </row>
    <row r="32" spans="1:71" ht="13.5" customHeight="1" x14ac:dyDescent="0.25">
      <c r="E32" s="97">
        <v>0.50155092592592598</v>
      </c>
      <c r="G32" s="97">
        <v>0.49678240740740742</v>
      </c>
      <c r="M32" s="97"/>
      <c r="T32" s="98" t="s">
        <v>289</v>
      </c>
      <c r="U32">
        <f>SUM(E25:N25)</f>
        <v>8456166912.5757008</v>
      </c>
    </row>
    <row r="33" spans="1:21" ht="13.5" customHeight="1" x14ac:dyDescent="0.25">
      <c r="E33" s="97">
        <f>+E31-E32</f>
        <v>3.1608796296296204E-2</v>
      </c>
      <c r="F33" s="95">
        <v>4.8341319444444447E-2</v>
      </c>
      <c r="G33" s="97">
        <f>+G31-G32</f>
        <v>3.8229166666666647E-2</v>
      </c>
      <c r="H33" s="97">
        <v>5.1168981481481489E-2</v>
      </c>
    </row>
    <row r="34" spans="1:21" ht="13.5" customHeight="1" x14ac:dyDescent="0.25">
      <c r="F34" s="97">
        <f>+F33-E33</f>
        <v>1.6732523148148243E-2</v>
      </c>
      <c r="H34" s="97">
        <f>+H33-G33</f>
        <v>1.2939814814814841E-2</v>
      </c>
      <c r="M34" s="97"/>
      <c r="T34" t="s">
        <v>228</v>
      </c>
      <c r="U34">
        <f>+(U28*SQRT(10*U32-U31)/U30)^2</f>
        <v>2.7853555608044207</v>
      </c>
    </row>
    <row r="35" spans="1:21" ht="13.5" customHeight="1" x14ac:dyDescent="0.25">
      <c r="M35" s="99"/>
    </row>
    <row r="36" spans="1:21" ht="13.5" customHeight="1" x14ac:dyDescent="0.25">
      <c r="T36" s="46"/>
    </row>
    <row r="37" spans="1:21" ht="13.5" customHeight="1" x14ac:dyDescent="0.25">
      <c r="O37" s="97"/>
    </row>
    <row r="38" spans="1:21" ht="13.5" customHeight="1" x14ac:dyDescent="0.25">
      <c r="E38" s="97">
        <v>0.56328703703703698</v>
      </c>
      <c r="F38" t="s">
        <v>290</v>
      </c>
      <c r="G38" s="97">
        <v>0.44767361111111109</v>
      </c>
      <c r="H38" s="97">
        <v>0.44767361111111109</v>
      </c>
      <c r="I38" s="97">
        <v>0.53861111111111104</v>
      </c>
    </row>
    <row r="39" spans="1:21" ht="13.5" customHeight="1" x14ac:dyDescent="0.25">
      <c r="E39" s="97">
        <v>0.5476388888888889</v>
      </c>
      <c r="G39" s="97">
        <v>0.41666666666666669</v>
      </c>
      <c r="H39" s="97">
        <v>0.42953703703703705</v>
      </c>
      <c r="I39" s="97">
        <v>0.44607638888888884</v>
      </c>
      <c r="J39" s="97">
        <v>0.45996527777777779</v>
      </c>
      <c r="K39" s="97">
        <v>0.47494212962962962</v>
      </c>
      <c r="L39" s="97">
        <v>0.49020833333333336</v>
      </c>
      <c r="M39" s="97">
        <v>0.50865740740740739</v>
      </c>
      <c r="N39" s="97">
        <v>0.5216898148148148</v>
      </c>
      <c r="O39" s="97">
        <v>0.53434027777777782</v>
      </c>
    </row>
    <row r="40" spans="1:21" ht="13.5" customHeight="1" x14ac:dyDescent="0.25">
      <c r="E40" s="97">
        <f>+E38-E39</f>
        <v>1.5648148148148078E-2</v>
      </c>
      <c r="G40" s="97">
        <f>G38-G39</f>
        <v>3.1006944444444406E-2</v>
      </c>
      <c r="H40" s="97">
        <f>H38-H39</f>
        <v>1.8136574074074041E-2</v>
      </c>
      <c r="I40" s="97">
        <f>$I$38-I39</f>
        <v>9.2534722222222199E-2</v>
      </c>
      <c r="J40" s="97">
        <f t="shared" ref="J40:O40" si="3">$I$38-J39</f>
        <v>7.8645833333333248E-2</v>
      </c>
      <c r="K40" s="97">
        <f t="shared" si="3"/>
        <v>6.3668981481481424E-2</v>
      </c>
      <c r="L40" s="97">
        <f t="shared" si="3"/>
        <v>4.8402777777777684E-2</v>
      </c>
      <c r="M40" s="97">
        <f t="shared" si="3"/>
        <v>2.9953703703703649E-2</v>
      </c>
      <c r="N40" s="97">
        <f t="shared" si="3"/>
        <v>1.692129629629624E-2</v>
      </c>
      <c r="O40" s="97">
        <f t="shared" si="3"/>
        <v>4.2708333333332238E-3</v>
      </c>
    </row>
    <row r="41" spans="1:21" ht="13.5" customHeight="1" x14ac:dyDescent="0.25"/>
    <row r="42" spans="1:21" ht="13.5" customHeight="1" x14ac:dyDescent="0.25"/>
    <row r="43" spans="1:21" ht="13.5" customHeight="1" x14ac:dyDescent="0.25">
      <c r="B43" s="51"/>
      <c r="C43" s="51"/>
      <c r="D43" s="51"/>
      <c r="I43" s="97">
        <v>0.5768402777777778</v>
      </c>
      <c r="J43" s="97">
        <v>0.54688657407407404</v>
      </c>
      <c r="K43" s="97">
        <v>0.55991898148148145</v>
      </c>
      <c r="L43" s="97">
        <v>0.57256944444444446</v>
      </c>
      <c r="N43" s="99">
        <v>5.9849537037037044E-4</v>
      </c>
    </row>
    <row r="44" spans="1:21" ht="13.5" customHeight="1" x14ac:dyDescent="0.25">
      <c r="B44" s="51"/>
      <c r="C44" s="51"/>
      <c r="D44" s="51"/>
      <c r="I44" s="97">
        <v>3.8229166666666668E-2</v>
      </c>
      <c r="J44" s="97">
        <v>3.8229166666666668E-2</v>
      </c>
      <c r="K44" s="97">
        <v>3.8229166666666668E-2</v>
      </c>
      <c r="L44" s="97">
        <v>3.8229166666666668E-2</v>
      </c>
      <c r="N44" s="99">
        <f>+N43/2</f>
        <v>2.9924768518518522E-4</v>
      </c>
    </row>
    <row r="45" spans="1:21" ht="13.5" customHeight="1" x14ac:dyDescent="0.25">
      <c r="B45" s="94"/>
      <c r="C45" s="100"/>
      <c r="D45" s="51"/>
      <c r="I45" s="97">
        <f>+I43-I44</f>
        <v>0.53861111111111115</v>
      </c>
      <c r="J45" s="97">
        <f t="shared" ref="J45:L45" si="4">+J43-J44</f>
        <v>0.50865740740740739</v>
      </c>
      <c r="K45" s="97">
        <f t="shared" si="4"/>
        <v>0.5216898148148148</v>
      </c>
      <c r="L45" s="97">
        <f t="shared" si="4"/>
        <v>0.53434027777777782</v>
      </c>
      <c r="N45" s="99">
        <v>2.4305555555555552E-4</v>
      </c>
      <c r="O45" s="99">
        <v>2.9282407407407409E-4</v>
      </c>
    </row>
    <row r="46" spans="1:21" ht="13.5" customHeight="1" x14ac:dyDescent="0.25">
      <c r="B46" s="94"/>
      <c r="C46" s="49"/>
      <c r="D46" s="51"/>
      <c r="N46" s="99">
        <f>+N44+N45</f>
        <v>5.4230324074074077E-4</v>
      </c>
      <c r="O46" s="99">
        <f>+O45+N44</f>
        <v>5.9207175925925931E-4</v>
      </c>
    </row>
    <row r="47" spans="1:21" ht="13.5" customHeight="1" x14ac:dyDescent="0.25">
      <c r="B47" s="94"/>
      <c r="C47" s="49"/>
      <c r="D47" s="51"/>
      <c r="N47" s="99"/>
      <c r="O47" s="99"/>
    </row>
    <row r="48" spans="1:21" ht="13.5" customHeight="1" x14ac:dyDescent="0.25">
      <c r="A48" s="280" t="s">
        <v>291</v>
      </c>
      <c r="B48" s="280"/>
      <c r="C48" s="280"/>
      <c r="D48" s="280"/>
      <c r="E48" s="280" t="s">
        <v>292</v>
      </c>
      <c r="F48" s="280"/>
      <c r="G48" s="280"/>
      <c r="H48" s="280"/>
      <c r="I48" s="280"/>
      <c r="J48" s="280"/>
      <c r="K48" s="280"/>
      <c r="L48" s="280"/>
      <c r="M48" s="280"/>
      <c r="N48" s="281" t="s">
        <v>293</v>
      </c>
      <c r="O48" s="281"/>
      <c r="P48" s="281"/>
      <c r="Q48" s="281"/>
      <c r="R48" s="281"/>
      <c r="S48" s="281"/>
      <c r="T48" s="281"/>
    </row>
    <row r="49" spans="1:71" ht="13.5" customHeight="1" x14ac:dyDescent="0.25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1"/>
      <c r="O49" s="281"/>
      <c r="P49" s="281"/>
      <c r="Q49" s="281"/>
      <c r="R49" s="281"/>
      <c r="S49" s="281"/>
      <c r="T49" s="281"/>
      <c r="V49" s="282" t="s">
        <v>294</v>
      </c>
      <c r="W49" s="283"/>
      <c r="X49" s="283"/>
      <c r="Y49" s="283"/>
      <c r="Z49" s="283"/>
      <c r="AA49" s="283"/>
      <c r="AB49" s="283"/>
      <c r="AC49" s="284"/>
    </row>
    <row r="50" spans="1:71" ht="13.5" customHeight="1" x14ac:dyDescent="0.25">
      <c r="A50" s="280" t="s">
        <v>295</v>
      </c>
      <c r="B50" s="280"/>
      <c r="C50" s="280"/>
      <c r="D50" s="280"/>
      <c r="E50" s="280" t="s">
        <v>296</v>
      </c>
      <c r="F50" s="280"/>
      <c r="G50" s="280"/>
      <c r="H50" s="280"/>
      <c r="I50" s="280"/>
      <c r="J50" s="280"/>
      <c r="K50" s="280"/>
      <c r="L50" s="280"/>
      <c r="M50" s="280"/>
      <c r="N50" s="281" t="s">
        <v>297</v>
      </c>
      <c r="O50" s="281"/>
      <c r="P50" s="281"/>
      <c r="Q50" s="281"/>
      <c r="R50" s="281"/>
      <c r="S50" s="281"/>
      <c r="T50" s="281"/>
      <c r="V50" s="290" t="s">
        <v>298</v>
      </c>
      <c r="W50" s="291"/>
      <c r="X50" s="291"/>
      <c r="Y50" s="291"/>
      <c r="Z50" s="291"/>
      <c r="AA50" s="291"/>
      <c r="AB50" s="291"/>
      <c r="AC50" s="292"/>
    </row>
    <row r="51" spans="1:71" ht="13.5" customHeight="1" x14ac:dyDescent="0.25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1"/>
      <c r="O51" s="281"/>
      <c r="P51" s="281"/>
      <c r="Q51" s="281"/>
      <c r="R51" s="281"/>
      <c r="S51" s="281"/>
      <c r="T51" s="281"/>
      <c r="V51" s="293" t="s">
        <v>299</v>
      </c>
      <c r="W51" s="294"/>
      <c r="X51" s="294"/>
      <c r="Y51" s="294"/>
      <c r="Z51" s="294"/>
      <c r="AA51" s="294"/>
      <c r="AB51" s="294"/>
      <c r="AC51" s="295"/>
    </row>
    <row r="52" spans="1:71" ht="13.5" customHeight="1" x14ac:dyDescent="0.25">
      <c r="A52" s="280" t="s">
        <v>300</v>
      </c>
      <c r="B52" s="280"/>
      <c r="C52" s="280"/>
      <c r="D52" s="280"/>
      <c r="E52" s="280" t="s">
        <v>301</v>
      </c>
      <c r="F52" s="280"/>
      <c r="G52" s="280"/>
      <c r="H52" s="280"/>
      <c r="I52" s="280"/>
      <c r="J52" s="280"/>
      <c r="K52" s="280"/>
      <c r="L52" s="280"/>
      <c r="M52" s="280"/>
      <c r="N52" s="281" t="s">
        <v>302</v>
      </c>
      <c r="O52" s="281"/>
      <c r="P52" s="281"/>
      <c r="Q52" s="281"/>
      <c r="R52" s="281"/>
      <c r="S52" s="281"/>
      <c r="T52" s="281"/>
      <c r="V52" s="293" t="s">
        <v>303</v>
      </c>
      <c r="W52" s="294"/>
      <c r="X52" s="294"/>
      <c r="Y52" s="294"/>
      <c r="Z52" s="294"/>
      <c r="AA52" s="294"/>
      <c r="AB52" s="294"/>
      <c r="AC52" s="295"/>
    </row>
    <row r="53" spans="1:71" ht="13.5" customHeight="1" x14ac:dyDescent="0.25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1"/>
      <c r="O53" s="281"/>
      <c r="P53" s="281"/>
      <c r="Q53" s="281"/>
      <c r="R53" s="281"/>
      <c r="S53" s="281"/>
      <c r="T53" s="281"/>
      <c r="V53" s="296" t="s">
        <v>304</v>
      </c>
      <c r="W53" s="297"/>
      <c r="X53" s="297"/>
      <c r="Y53" s="297"/>
      <c r="Z53" s="297"/>
      <c r="AA53" s="297"/>
      <c r="AB53" s="297"/>
      <c r="AC53" s="29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3.5" customHeight="1" x14ac:dyDescent="0.25">
      <c r="A54" s="280"/>
      <c r="B54" s="280"/>
      <c r="C54" s="280"/>
      <c r="D54" s="280"/>
      <c r="E54" s="280" t="s">
        <v>305</v>
      </c>
      <c r="F54" s="280"/>
      <c r="G54" s="280"/>
      <c r="H54" s="280"/>
      <c r="I54" s="280"/>
      <c r="J54" s="280"/>
      <c r="K54" s="280"/>
      <c r="L54" s="280"/>
      <c r="M54" s="280"/>
      <c r="N54" s="306" t="s">
        <v>306</v>
      </c>
      <c r="O54" s="281"/>
      <c r="P54" s="281"/>
      <c r="Q54" s="281"/>
      <c r="R54" s="281"/>
      <c r="S54" s="281"/>
      <c r="T54" s="281"/>
      <c r="V54" s="256" t="s">
        <v>307</v>
      </c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</row>
    <row r="55" spans="1:71" ht="13.5" customHeight="1" x14ac:dyDescent="0.25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306"/>
      <c r="O55" s="281"/>
      <c r="P55" s="281"/>
      <c r="Q55" s="281"/>
      <c r="R55" s="281"/>
      <c r="S55" s="281"/>
      <c r="T55" s="281"/>
      <c r="V55" s="260" t="s">
        <v>263</v>
      </c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101"/>
      <c r="BP55" s="101"/>
      <c r="BQ55" s="101"/>
      <c r="BR55" s="101"/>
      <c r="BS55" s="102"/>
    </row>
    <row r="56" spans="1:71" ht="13.5" customHeight="1" x14ac:dyDescent="0.25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306"/>
      <c r="O56" s="281"/>
      <c r="P56" s="281"/>
      <c r="Q56" s="281"/>
      <c r="R56" s="281"/>
      <c r="S56" s="281"/>
      <c r="T56" s="281"/>
      <c r="V56" s="260" t="s">
        <v>308</v>
      </c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2"/>
    </row>
    <row r="57" spans="1:71" ht="13.5" customHeight="1" x14ac:dyDescent="0.25">
      <c r="A57" s="280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1"/>
      <c r="O57" s="281"/>
      <c r="P57" s="281"/>
      <c r="Q57" s="281"/>
      <c r="R57" s="281"/>
      <c r="S57" s="281"/>
      <c r="T57" s="281"/>
      <c r="V57" s="307" t="s">
        <v>202</v>
      </c>
      <c r="W57" s="307" t="s">
        <v>203</v>
      </c>
      <c r="X57" s="307"/>
      <c r="Y57" s="307"/>
      <c r="Z57" s="307"/>
      <c r="AA57" s="307"/>
      <c r="AB57" s="307"/>
      <c r="AC57" s="307"/>
      <c r="AD57" s="286" t="s">
        <v>309</v>
      </c>
      <c r="AE57" s="286"/>
      <c r="AF57" s="286"/>
      <c r="AG57" s="286"/>
      <c r="AH57" s="286"/>
      <c r="AI57" s="287" t="s">
        <v>310</v>
      </c>
      <c r="AJ57" s="288"/>
      <c r="AK57" s="288"/>
      <c r="AL57" s="288"/>
      <c r="AM57" s="289"/>
      <c r="AN57" s="287" t="s">
        <v>311</v>
      </c>
      <c r="AO57" s="288"/>
      <c r="AP57" s="288"/>
      <c r="AQ57" s="288"/>
      <c r="AR57" s="289"/>
      <c r="AS57" s="287" t="s">
        <v>312</v>
      </c>
      <c r="AT57" s="288"/>
      <c r="AU57" s="288"/>
      <c r="AV57" s="288"/>
      <c r="AW57" s="289"/>
      <c r="AX57" s="287" t="s">
        <v>313</v>
      </c>
      <c r="AY57" s="288"/>
      <c r="AZ57" s="288"/>
      <c r="BA57" s="288"/>
      <c r="BB57" s="289"/>
      <c r="BC57" s="287" t="s">
        <v>314</v>
      </c>
      <c r="BD57" s="288"/>
      <c r="BE57" s="288"/>
      <c r="BF57" s="288"/>
      <c r="BG57" s="289"/>
      <c r="BH57" s="287" t="s">
        <v>315</v>
      </c>
      <c r="BI57" s="288"/>
      <c r="BJ57" s="288"/>
      <c r="BK57" s="288"/>
      <c r="BL57" s="289"/>
      <c r="BM57" s="287" t="s">
        <v>316</v>
      </c>
      <c r="BN57" s="288"/>
      <c r="BO57" s="288"/>
      <c r="BP57" s="288"/>
      <c r="BQ57" s="289"/>
      <c r="BR57" s="299" t="s">
        <v>317</v>
      </c>
      <c r="BS57" s="299" t="s">
        <v>318</v>
      </c>
    </row>
    <row r="58" spans="1:71" ht="13.5" customHeight="1" x14ac:dyDescent="0.25">
      <c r="A58" s="300" t="s">
        <v>202</v>
      </c>
      <c r="B58" s="300" t="s">
        <v>203</v>
      </c>
      <c r="C58" s="301" t="s">
        <v>269</v>
      </c>
      <c r="D58" s="301" t="s">
        <v>270</v>
      </c>
      <c r="E58" s="301" t="s">
        <v>218</v>
      </c>
      <c r="F58" s="301"/>
      <c r="G58" s="301"/>
      <c r="H58" s="301"/>
      <c r="I58" s="301"/>
      <c r="J58" s="301"/>
      <c r="K58" s="301"/>
      <c r="L58" s="301"/>
      <c r="M58" s="301"/>
      <c r="N58" s="301"/>
      <c r="O58" s="302" t="s">
        <v>319</v>
      </c>
      <c r="P58" s="304" t="s">
        <v>320</v>
      </c>
      <c r="Q58" s="305" t="s">
        <v>318</v>
      </c>
      <c r="R58" s="305" t="s">
        <v>321</v>
      </c>
      <c r="S58" s="305" t="s">
        <v>322</v>
      </c>
      <c r="T58" s="305" t="s">
        <v>323</v>
      </c>
      <c r="V58" s="307"/>
      <c r="W58" s="307"/>
      <c r="X58" s="307"/>
      <c r="Y58" s="307"/>
      <c r="Z58" s="307"/>
      <c r="AA58" s="307"/>
      <c r="AB58" s="307"/>
      <c r="AC58" s="307"/>
      <c r="AD58" s="307" t="s">
        <v>324</v>
      </c>
      <c r="AE58" s="307" t="s">
        <v>325</v>
      </c>
      <c r="AF58" s="307" t="s">
        <v>326</v>
      </c>
      <c r="AG58" s="307" t="s">
        <v>327</v>
      </c>
      <c r="AH58" s="246" t="s">
        <v>84</v>
      </c>
      <c r="AI58" s="307" t="s">
        <v>324</v>
      </c>
      <c r="AJ58" s="307" t="s">
        <v>325</v>
      </c>
      <c r="AK58" s="307" t="s">
        <v>326</v>
      </c>
      <c r="AL58" s="307" t="s">
        <v>327</v>
      </c>
      <c r="AM58" s="246" t="s">
        <v>84</v>
      </c>
      <c r="AN58" s="307" t="s">
        <v>324</v>
      </c>
      <c r="AO58" s="307" t="s">
        <v>325</v>
      </c>
      <c r="AP58" s="307" t="s">
        <v>326</v>
      </c>
      <c r="AQ58" s="307" t="s">
        <v>327</v>
      </c>
      <c r="AR58" s="246" t="s">
        <v>84</v>
      </c>
      <c r="AS58" s="307" t="s">
        <v>324</v>
      </c>
      <c r="AT58" s="307" t="s">
        <v>325</v>
      </c>
      <c r="AU58" s="307" t="s">
        <v>326</v>
      </c>
      <c r="AV58" s="307" t="s">
        <v>327</v>
      </c>
      <c r="AW58" s="246" t="s">
        <v>84</v>
      </c>
      <c r="AX58" s="307" t="s">
        <v>324</v>
      </c>
      <c r="AY58" s="307" t="s">
        <v>325</v>
      </c>
      <c r="AZ58" s="307" t="s">
        <v>326</v>
      </c>
      <c r="BA58" s="307" t="s">
        <v>327</v>
      </c>
      <c r="BB58" s="246" t="s">
        <v>84</v>
      </c>
      <c r="BC58" s="307" t="s">
        <v>324</v>
      </c>
      <c r="BD58" s="307" t="s">
        <v>325</v>
      </c>
      <c r="BE58" s="307" t="s">
        <v>326</v>
      </c>
      <c r="BF58" s="307" t="s">
        <v>327</v>
      </c>
      <c r="BG58" s="246" t="s">
        <v>84</v>
      </c>
      <c r="BH58" s="307" t="s">
        <v>324</v>
      </c>
      <c r="BI58" s="307" t="s">
        <v>325</v>
      </c>
      <c r="BJ58" s="307" t="s">
        <v>326</v>
      </c>
      <c r="BK58" s="307" t="s">
        <v>327</v>
      </c>
      <c r="BL58" s="246" t="s">
        <v>84</v>
      </c>
      <c r="BM58" s="307" t="s">
        <v>324</v>
      </c>
      <c r="BN58" s="307" t="s">
        <v>325</v>
      </c>
      <c r="BO58" s="307" t="s">
        <v>326</v>
      </c>
      <c r="BP58" s="307" t="s">
        <v>327</v>
      </c>
      <c r="BQ58" s="246" t="s">
        <v>84</v>
      </c>
      <c r="BR58" s="299"/>
      <c r="BS58" s="299"/>
    </row>
    <row r="59" spans="1:71" ht="13.5" customHeight="1" x14ac:dyDescent="0.25">
      <c r="A59" s="300"/>
      <c r="B59" s="300"/>
      <c r="C59" s="301"/>
      <c r="D59" s="301"/>
      <c r="E59" s="103">
        <v>1</v>
      </c>
      <c r="F59" s="103">
        <v>2</v>
      </c>
      <c r="G59" s="103">
        <v>3</v>
      </c>
      <c r="H59" s="103">
        <v>4</v>
      </c>
      <c r="I59" s="103">
        <v>5</v>
      </c>
      <c r="J59" s="103">
        <v>6</v>
      </c>
      <c r="K59" s="103">
        <v>7</v>
      </c>
      <c r="L59" s="103">
        <v>8</v>
      </c>
      <c r="M59" s="103">
        <v>9</v>
      </c>
      <c r="N59" s="103">
        <v>10</v>
      </c>
      <c r="O59" s="303"/>
      <c r="P59" s="304"/>
      <c r="Q59" s="305"/>
      <c r="R59" s="305"/>
      <c r="S59" s="305"/>
      <c r="T59" s="305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244"/>
      <c r="AI59" s="307"/>
      <c r="AJ59" s="307"/>
      <c r="AK59" s="307"/>
      <c r="AL59" s="307"/>
      <c r="AM59" s="244"/>
      <c r="AN59" s="307"/>
      <c r="AO59" s="307"/>
      <c r="AP59" s="307"/>
      <c r="AQ59" s="307"/>
      <c r="AR59" s="244"/>
      <c r="AS59" s="307"/>
      <c r="AT59" s="307"/>
      <c r="AU59" s="307"/>
      <c r="AV59" s="307"/>
      <c r="AW59" s="244"/>
      <c r="AX59" s="307"/>
      <c r="AY59" s="307"/>
      <c r="AZ59" s="307"/>
      <c r="BA59" s="307"/>
      <c r="BB59" s="244"/>
      <c r="BC59" s="307"/>
      <c r="BD59" s="307"/>
      <c r="BE59" s="307"/>
      <c r="BF59" s="307"/>
      <c r="BG59" s="244"/>
      <c r="BH59" s="307"/>
      <c r="BI59" s="307"/>
      <c r="BJ59" s="307"/>
      <c r="BK59" s="307"/>
      <c r="BL59" s="244"/>
      <c r="BM59" s="307"/>
      <c r="BN59" s="307"/>
      <c r="BO59" s="307"/>
      <c r="BP59" s="307"/>
      <c r="BQ59" s="244"/>
      <c r="BR59" s="299"/>
      <c r="BS59" s="299"/>
    </row>
    <row r="60" spans="1:71" ht="13.5" customHeight="1" x14ac:dyDescent="0.25">
      <c r="A60" s="87">
        <v>1</v>
      </c>
      <c r="B60" s="42" t="s">
        <v>328</v>
      </c>
      <c r="C60" s="104"/>
      <c r="D60" s="105" t="s">
        <v>329</v>
      </c>
      <c r="E60" s="56">
        <f>E12/60</f>
        <v>22.608499999999999</v>
      </c>
      <c r="F60" s="56">
        <f t="shared" ref="F60:N60" si="5">F12/60</f>
        <v>20.844833333333334</v>
      </c>
      <c r="G60" s="56">
        <f t="shared" si="5"/>
        <v>21.696833333333334</v>
      </c>
      <c r="H60" s="56">
        <f t="shared" si="5"/>
        <v>22.663499999999999</v>
      </c>
      <c r="I60" s="56">
        <f t="shared" si="5"/>
        <v>22.362000000000002</v>
      </c>
      <c r="J60" s="56">
        <f t="shared" si="5"/>
        <v>20.870166666666666</v>
      </c>
      <c r="K60" s="56">
        <f t="shared" si="5"/>
        <v>20.639333333333333</v>
      </c>
      <c r="L60" s="56">
        <f t="shared" si="5"/>
        <v>20.788</v>
      </c>
      <c r="M60" s="56">
        <f t="shared" si="5"/>
        <v>20.974666666666668</v>
      </c>
      <c r="N60" s="56">
        <f t="shared" si="5"/>
        <v>19.201999999999998</v>
      </c>
      <c r="O60" s="60">
        <f>+SUM(E60:N60)</f>
        <v>212.64983333333336</v>
      </c>
      <c r="P60" s="60">
        <f>+AVERAGE(E60:N60)</f>
        <v>21.264983333333337</v>
      </c>
      <c r="Q60" s="59">
        <v>1.01</v>
      </c>
      <c r="R60" s="60">
        <f>+P60*Q60</f>
        <v>21.477633166666671</v>
      </c>
      <c r="S60" s="59">
        <v>1.1100000000000001</v>
      </c>
      <c r="T60" s="60">
        <f>+S60*R60</f>
        <v>23.840172815000006</v>
      </c>
      <c r="V60" s="87">
        <v>1</v>
      </c>
      <c r="W60" s="308" t="s">
        <v>328</v>
      </c>
      <c r="X60" s="308"/>
      <c r="Y60" s="308"/>
      <c r="Z60" s="308"/>
      <c r="AA60" s="308"/>
      <c r="AB60" s="308"/>
      <c r="AC60" s="308"/>
      <c r="AD60" s="59">
        <v>0.03</v>
      </c>
      <c r="AE60" s="59">
        <v>0</v>
      </c>
      <c r="AF60" s="59">
        <v>0</v>
      </c>
      <c r="AG60" s="59">
        <v>0</v>
      </c>
      <c r="AH60" s="106">
        <f>0.03+0+0+0+0</f>
        <v>0.03</v>
      </c>
      <c r="AI60" s="59">
        <v>0.03</v>
      </c>
      <c r="AJ60" s="59">
        <v>0</v>
      </c>
      <c r="AK60" s="59">
        <v>0</v>
      </c>
      <c r="AL60" s="59">
        <v>0</v>
      </c>
      <c r="AM60" s="106">
        <f>0.03+0+0+0</f>
        <v>0.03</v>
      </c>
      <c r="AN60" s="59">
        <v>0.03</v>
      </c>
      <c r="AO60" s="59">
        <v>0</v>
      </c>
      <c r="AP60" s="59">
        <v>0</v>
      </c>
      <c r="AQ60" s="59">
        <v>0</v>
      </c>
      <c r="AR60" s="106">
        <f>0.03+0+0+0</f>
        <v>0.03</v>
      </c>
      <c r="AS60" s="59">
        <v>-0.05</v>
      </c>
      <c r="AT60" s="59">
        <v>0</v>
      </c>
      <c r="AU60" s="59">
        <v>0</v>
      </c>
      <c r="AV60" s="59">
        <v>0</v>
      </c>
      <c r="AW60" s="106">
        <f>-0.05+0+0+0</f>
        <v>-0.05</v>
      </c>
      <c r="AX60" s="59"/>
      <c r="AY60" s="59"/>
      <c r="AZ60" s="59"/>
      <c r="BA60" s="59"/>
      <c r="BB60" s="106"/>
      <c r="BC60" s="59"/>
      <c r="BD60" s="59"/>
      <c r="BE60" s="59"/>
      <c r="BF60" s="59"/>
      <c r="BG60" s="107"/>
      <c r="BH60" s="59"/>
      <c r="BI60" s="59"/>
      <c r="BJ60" s="59"/>
      <c r="BK60" s="59"/>
      <c r="BL60" s="107"/>
      <c r="BM60" s="59"/>
      <c r="BN60" s="59"/>
      <c r="BO60" s="59"/>
      <c r="BP60" s="59"/>
      <c r="BQ60" s="107"/>
      <c r="BR60" s="60">
        <f>+SUM(AH60+AM60+AR60+AW60)/4</f>
        <v>9.9999999999999985E-3</v>
      </c>
      <c r="BS60" s="108">
        <f t="shared" ref="BS60:BS65" si="6">+BR60+1</f>
        <v>1.01</v>
      </c>
    </row>
    <row r="61" spans="1:71" ht="13.5" customHeight="1" x14ac:dyDescent="0.25">
      <c r="A61" s="87">
        <v>2</v>
      </c>
      <c r="B61" s="42" t="s">
        <v>279</v>
      </c>
      <c r="C61" s="43" t="s">
        <v>329</v>
      </c>
      <c r="D61" s="43"/>
      <c r="E61" s="56">
        <f>+E14/60</f>
        <v>6.6593333333333335</v>
      </c>
      <c r="F61" s="56">
        <f t="shared" ref="F61:N61" si="7">+F14/60</f>
        <v>9.9801666666666655</v>
      </c>
      <c r="G61" s="56">
        <f t="shared" si="7"/>
        <v>17.509166666666665</v>
      </c>
      <c r="H61" s="56">
        <f t="shared" si="7"/>
        <v>8.9490000000000016</v>
      </c>
      <c r="I61" s="56">
        <f t="shared" si="7"/>
        <v>5.3635000000000002</v>
      </c>
      <c r="J61" s="56">
        <f t="shared" si="7"/>
        <v>3.7704999999999997</v>
      </c>
      <c r="K61" s="56">
        <f t="shared" si="7"/>
        <v>4.6213333333333333</v>
      </c>
      <c r="L61" s="56">
        <f t="shared" si="7"/>
        <v>7.2238333333333333</v>
      </c>
      <c r="M61" s="56">
        <f t="shared" si="7"/>
        <v>4.4649999999999999</v>
      </c>
      <c r="N61" s="56">
        <f t="shared" si="7"/>
        <v>4.706833333333333</v>
      </c>
      <c r="O61" s="60">
        <f t="shared" ref="O61:O65" si="8">+SUM(E61:N61)</f>
        <v>73.248666666666679</v>
      </c>
      <c r="P61" s="60">
        <f t="shared" ref="P61:P65" si="9">+AVERAGE(E61:N61)</f>
        <v>7.3248666666666677</v>
      </c>
      <c r="Q61" s="59">
        <v>0.98</v>
      </c>
      <c r="R61" s="60">
        <f t="shared" ref="R61:R65" si="10">+P61*Q61</f>
        <v>7.1783693333333343</v>
      </c>
      <c r="S61" s="59">
        <v>1.1100000000000001</v>
      </c>
      <c r="T61" s="60">
        <f t="shared" ref="T61:T65" si="11">+S61*R61</f>
        <v>7.9679899600000015</v>
      </c>
      <c r="V61" s="87">
        <v>2</v>
      </c>
      <c r="W61" s="308" t="s">
        <v>279</v>
      </c>
      <c r="X61" s="308"/>
      <c r="Y61" s="308"/>
      <c r="Z61" s="308"/>
      <c r="AA61" s="308"/>
      <c r="AB61" s="308"/>
      <c r="AC61" s="308"/>
      <c r="AD61" s="59"/>
      <c r="AE61" s="59"/>
      <c r="AF61" s="59"/>
      <c r="AG61" s="59"/>
      <c r="AH61" s="107"/>
      <c r="AI61" s="59"/>
      <c r="AJ61" s="59"/>
      <c r="AK61" s="59"/>
      <c r="AL61" s="59"/>
      <c r="AM61" s="107"/>
      <c r="AN61" s="59"/>
      <c r="AO61" s="59"/>
      <c r="AP61" s="59"/>
      <c r="AQ61" s="59"/>
      <c r="AR61" s="107"/>
      <c r="AS61" s="59"/>
      <c r="AT61" s="59"/>
      <c r="AU61" s="59"/>
      <c r="AV61" s="59"/>
      <c r="AW61" s="107"/>
      <c r="AX61" s="59">
        <v>0</v>
      </c>
      <c r="AY61" s="59">
        <v>0</v>
      </c>
      <c r="AZ61" s="59">
        <v>0</v>
      </c>
      <c r="BA61" s="59">
        <v>-0.02</v>
      </c>
      <c r="BB61" s="106">
        <f>0+0+0-0.02</f>
        <v>-0.02</v>
      </c>
      <c r="BC61" s="59"/>
      <c r="BD61" s="59"/>
      <c r="BE61" s="59"/>
      <c r="BF61" s="59"/>
      <c r="BG61" s="107"/>
      <c r="BH61" s="59"/>
      <c r="BI61" s="59"/>
      <c r="BJ61" s="59"/>
      <c r="BK61" s="59"/>
      <c r="BL61" s="107"/>
      <c r="BM61" s="59"/>
      <c r="BN61" s="59"/>
      <c r="BO61" s="59"/>
      <c r="BP61" s="59"/>
      <c r="BQ61" s="107"/>
      <c r="BR61" s="59">
        <f>+BB61</f>
        <v>-0.02</v>
      </c>
      <c r="BS61" s="108">
        <f t="shared" si="6"/>
        <v>0.98</v>
      </c>
    </row>
    <row r="62" spans="1:71" ht="13.5" customHeight="1" x14ac:dyDescent="0.25">
      <c r="A62" s="87">
        <v>3</v>
      </c>
      <c r="B62" s="42" t="s">
        <v>280</v>
      </c>
      <c r="C62" s="43" t="s">
        <v>329</v>
      </c>
      <c r="D62" s="43"/>
      <c r="E62" s="56">
        <f>+E16/60</f>
        <v>379.11666666666667</v>
      </c>
      <c r="F62" s="56">
        <f t="shared" ref="F62:N62" si="12">+F16/60</f>
        <v>367.78333333333336</v>
      </c>
      <c r="G62" s="56">
        <f t="shared" si="12"/>
        <v>368.86666666666667</v>
      </c>
      <c r="H62" s="56">
        <f t="shared" si="12"/>
        <v>380.05</v>
      </c>
      <c r="I62" s="56">
        <f t="shared" si="12"/>
        <v>379.66666666666669</v>
      </c>
      <c r="J62" s="56">
        <f t="shared" si="12"/>
        <v>381.86666666666667</v>
      </c>
      <c r="K62" s="56">
        <f t="shared" si="12"/>
        <v>379.03333333333336</v>
      </c>
      <c r="L62" s="56">
        <f t="shared" si="12"/>
        <v>381.61666666666667</v>
      </c>
      <c r="M62" s="56">
        <f t="shared" si="12"/>
        <v>386.25</v>
      </c>
      <c r="N62" s="56">
        <f t="shared" si="12"/>
        <v>386.88333333333333</v>
      </c>
      <c r="O62" s="60">
        <f t="shared" si="8"/>
        <v>3791.1333333333337</v>
      </c>
      <c r="P62" s="60">
        <f t="shared" si="9"/>
        <v>379.11333333333334</v>
      </c>
      <c r="Q62" s="59">
        <v>1</v>
      </c>
      <c r="R62" s="60">
        <f t="shared" si="10"/>
        <v>379.11333333333334</v>
      </c>
      <c r="S62" s="59">
        <v>1.1100000000000001</v>
      </c>
      <c r="T62" s="60">
        <f t="shared" si="11"/>
        <v>420.81580000000002</v>
      </c>
      <c r="V62" s="87">
        <v>3</v>
      </c>
      <c r="W62" s="309" t="s">
        <v>280</v>
      </c>
      <c r="X62" s="310"/>
      <c r="Y62" s="310"/>
      <c r="Z62" s="310"/>
      <c r="AA62" s="310"/>
      <c r="AB62" s="310"/>
      <c r="AC62" s="311"/>
      <c r="AD62" s="59"/>
      <c r="AE62" s="59"/>
      <c r="AF62" s="59"/>
      <c r="AG62" s="59"/>
      <c r="AH62" s="107"/>
      <c r="AI62" s="59"/>
      <c r="AJ62" s="59"/>
      <c r="AK62" s="59"/>
      <c r="AL62" s="59"/>
      <c r="AM62" s="107"/>
      <c r="AN62" s="59"/>
      <c r="AO62" s="59"/>
      <c r="AP62" s="59"/>
      <c r="AQ62" s="59"/>
      <c r="AR62" s="107"/>
      <c r="AS62" s="59"/>
      <c r="AT62" s="59"/>
      <c r="AU62" s="59"/>
      <c r="AV62" s="59"/>
      <c r="AW62" s="107"/>
      <c r="AX62" s="59"/>
      <c r="AY62" s="59"/>
      <c r="AZ62" s="59"/>
      <c r="BA62" s="59"/>
      <c r="BB62" s="106"/>
      <c r="BC62" s="59"/>
      <c r="BD62" s="59"/>
      <c r="BE62" s="59"/>
      <c r="BF62" s="59"/>
      <c r="BG62" s="107"/>
      <c r="BH62" s="59"/>
      <c r="BI62" s="59"/>
      <c r="BJ62" s="59"/>
      <c r="BK62" s="59"/>
      <c r="BL62" s="107"/>
      <c r="BM62" s="59"/>
      <c r="BN62" s="59"/>
      <c r="BO62" s="59"/>
      <c r="BP62" s="59"/>
      <c r="BQ62" s="107"/>
      <c r="BR62" s="59">
        <f>+BB65</f>
        <v>0</v>
      </c>
      <c r="BS62" s="108">
        <f t="shared" si="6"/>
        <v>1</v>
      </c>
    </row>
    <row r="63" spans="1:71" ht="13.5" customHeight="1" x14ac:dyDescent="0.25">
      <c r="A63" s="87">
        <v>4</v>
      </c>
      <c r="B63" s="42" t="s">
        <v>281</v>
      </c>
      <c r="C63" s="43" t="s">
        <v>329</v>
      </c>
      <c r="D63" s="43"/>
      <c r="E63" s="56">
        <f>+E18/60</f>
        <v>0.62166666666666659</v>
      </c>
      <c r="F63" s="56">
        <f t="shared" ref="F63:N63" si="13">+F18/60</f>
        <v>0.85333333333333339</v>
      </c>
      <c r="G63" s="56">
        <f t="shared" si="13"/>
        <v>0.48000000000000004</v>
      </c>
      <c r="H63" s="56">
        <f t="shared" si="13"/>
        <v>0.77166666666666661</v>
      </c>
      <c r="I63" s="56">
        <f t="shared" si="13"/>
        <v>0.76333333333333331</v>
      </c>
      <c r="J63" s="56">
        <f t="shared" si="13"/>
        <v>0.69666666666666666</v>
      </c>
      <c r="K63" s="56">
        <f t="shared" si="13"/>
        <v>0.77500000000000002</v>
      </c>
      <c r="L63" s="56">
        <f t="shared" si="13"/>
        <v>0.48166666666666663</v>
      </c>
      <c r="M63" s="56">
        <f t="shared" si="13"/>
        <v>0.78166666666666662</v>
      </c>
      <c r="N63" s="56">
        <f t="shared" si="13"/>
        <v>0.85333333333333339</v>
      </c>
      <c r="O63" s="60">
        <f t="shared" si="8"/>
        <v>7.0783333333333331</v>
      </c>
      <c r="P63" s="60">
        <f t="shared" si="9"/>
        <v>0.70783333333333331</v>
      </c>
      <c r="Q63" s="59">
        <v>0.98</v>
      </c>
      <c r="R63" s="60">
        <f t="shared" si="10"/>
        <v>0.69367666666666661</v>
      </c>
      <c r="S63" s="59">
        <v>1.1100000000000001</v>
      </c>
      <c r="T63" s="60">
        <f t="shared" si="11"/>
        <v>0.76998109999999997</v>
      </c>
      <c r="V63" s="87">
        <v>4</v>
      </c>
      <c r="W63" s="309" t="s">
        <v>281</v>
      </c>
      <c r="X63" s="310"/>
      <c r="Y63" s="310"/>
      <c r="Z63" s="310"/>
      <c r="AA63" s="310"/>
      <c r="AB63" s="310"/>
      <c r="AC63" s="311"/>
      <c r="AD63" s="59"/>
      <c r="AE63" s="59"/>
      <c r="AF63" s="59"/>
      <c r="AG63" s="59"/>
      <c r="AH63" s="107"/>
      <c r="AI63" s="59"/>
      <c r="AJ63" s="59"/>
      <c r="AK63" s="59"/>
      <c r="AL63" s="59"/>
      <c r="AM63" s="107"/>
      <c r="AN63" s="59"/>
      <c r="AO63" s="59"/>
      <c r="AP63" s="59"/>
      <c r="AQ63" s="59"/>
      <c r="AR63" s="107"/>
      <c r="AS63" s="59"/>
      <c r="AT63" s="59"/>
      <c r="AU63" s="59"/>
      <c r="AV63" s="59"/>
      <c r="AW63" s="107"/>
      <c r="AX63" s="59">
        <v>0</v>
      </c>
      <c r="AY63" s="59">
        <v>0</v>
      </c>
      <c r="AZ63" s="59">
        <v>0</v>
      </c>
      <c r="BA63" s="59">
        <v>-0.02</v>
      </c>
      <c r="BB63" s="106">
        <f>0+0+0-0.02</f>
        <v>-0.02</v>
      </c>
      <c r="BC63" s="59"/>
      <c r="BD63" s="59"/>
      <c r="BE63" s="59"/>
      <c r="BF63" s="59"/>
      <c r="BG63" s="107"/>
      <c r="BH63" s="59"/>
      <c r="BI63" s="59"/>
      <c r="BJ63" s="59"/>
      <c r="BK63" s="59"/>
      <c r="BL63" s="107"/>
      <c r="BM63" s="59"/>
      <c r="BN63" s="59"/>
      <c r="BO63" s="59"/>
      <c r="BP63" s="59"/>
      <c r="BQ63" s="107"/>
      <c r="BR63" s="59">
        <f>+BB63</f>
        <v>-0.02</v>
      </c>
      <c r="BS63" s="108">
        <f t="shared" si="6"/>
        <v>0.98</v>
      </c>
    </row>
    <row r="64" spans="1:71" ht="13.5" customHeight="1" x14ac:dyDescent="0.25">
      <c r="A64" s="87">
        <v>5</v>
      </c>
      <c r="B64" s="42" t="s">
        <v>282</v>
      </c>
      <c r="C64" s="43" t="s">
        <v>329</v>
      </c>
      <c r="D64" s="43"/>
      <c r="E64" s="56">
        <f>+E20/60</f>
        <v>24.094833333333334</v>
      </c>
      <c r="F64" s="56">
        <f t="shared" ref="F64:N64" si="14">+F20/60</f>
        <v>20.863833333333332</v>
      </c>
      <c r="G64" s="56">
        <f t="shared" si="14"/>
        <v>16.975666666666665</v>
      </c>
      <c r="H64" s="56">
        <f t="shared" si="14"/>
        <v>15.126333333333333</v>
      </c>
      <c r="I64" s="56">
        <f t="shared" si="14"/>
        <v>16.088000000000001</v>
      </c>
      <c r="J64" s="56">
        <f t="shared" si="14"/>
        <v>15.824666666666667</v>
      </c>
      <c r="K64" s="56">
        <f t="shared" si="14"/>
        <v>19.325499999999998</v>
      </c>
      <c r="L64" s="56">
        <f t="shared" si="14"/>
        <v>18.633333333333333</v>
      </c>
      <c r="M64" s="56">
        <f t="shared" si="14"/>
        <v>9.0166666666666675</v>
      </c>
      <c r="N64" s="56">
        <f t="shared" si="14"/>
        <v>14.9025</v>
      </c>
      <c r="O64" s="60">
        <f t="shared" si="8"/>
        <v>170.85133333333334</v>
      </c>
      <c r="P64" s="60">
        <f t="shared" si="9"/>
        <v>17.085133333333335</v>
      </c>
      <c r="Q64" s="59">
        <v>1.03</v>
      </c>
      <c r="R64" s="60">
        <f t="shared" si="10"/>
        <v>17.597687333333337</v>
      </c>
      <c r="S64" s="59">
        <v>1.1100000000000001</v>
      </c>
      <c r="T64" s="60">
        <f t="shared" si="11"/>
        <v>19.533432940000004</v>
      </c>
      <c r="V64" s="87">
        <v>5</v>
      </c>
      <c r="W64" s="309" t="s">
        <v>282</v>
      </c>
      <c r="X64" s="310"/>
      <c r="Y64" s="310"/>
      <c r="Z64" s="310"/>
      <c r="AA64" s="310"/>
      <c r="AB64" s="310"/>
      <c r="AC64" s="311"/>
      <c r="AD64" s="59"/>
      <c r="AE64" s="59"/>
      <c r="AF64" s="59"/>
      <c r="AG64" s="59"/>
      <c r="AH64" s="107"/>
      <c r="AI64" s="59"/>
      <c r="AJ64" s="59"/>
      <c r="AK64" s="59"/>
      <c r="AL64" s="59"/>
      <c r="AM64" s="107"/>
      <c r="AN64" s="59"/>
      <c r="AO64" s="59"/>
      <c r="AP64" s="59"/>
      <c r="AQ64" s="59"/>
      <c r="AR64" s="107"/>
      <c r="AS64" s="59"/>
      <c r="AT64" s="59"/>
      <c r="AU64" s="59"/>
      <c r="AV64" s="59"/>
      <c r="AW64" s="107"/>
      <c r="AX64" s="59"/>
      <c r="AY64" s="59"/>
      <c r="AZ64" s="59"/>
      <c r="BA64" s="59"/>
      <c r="BB64" s="106"/>
      <c r="BC64" s="59">
        <v>0.03</v>
      </c>
      <c r="BD64" s="59">
        <v>0</v>
      </c>
      <c r="BE64" s="59">
        <v>0</v>
      </c>
      <c r="BF64" s="59">
        <v>0</v>
      </c>
      <c r="BG64" s="106">
        <f>0.03+0+0+0</f>
        <v>0.03</v>
      </c>
      <c r="BH64" s="59">
        <v>0.03</v>
      </c>
      <c r="BI64" s="59">
        <v>0</v>
      </c>
      <c r="BJ64" s="59">
        <v>0</v>
      </c>
      <c r="BK64" s="59">
        <v>0</v>
      </c>
      <c r="BL64" s="106">
        <f>0.03+0+0+0</f>
        <v>0.03</v>
      </c>
      <c r="BM64" s="59"/>
      <c r="BN64" s="59"/>
      <c r="BO64" s="59"/>
      <c r="BP64" s="59"/>
      <c r="BQ64" s="107"/>
      <c r="BR64" s="59">
        <f>+SUM(BG64+BL64)/2</f>
        <v>0.03</v>
      </c>
      <c r="BS64" s="108">
        <f t="shared" si="6"/>
        <v>1.03</v>
      </c>
    </row>
    <row r="65" spans="1:71" ht="13.5" customHeight="1" x14ac:dyDescent="0.25">
      <c r="A65" s="87">
        <v>6</v>
      </c>
      <c r="B65" s="42" t="s">
        <v>283</v>
      </c>
      <c r="C65" s="43" t="s">
        <v>329</v>
      </c>
      <c r="D65" s="43"/>
      <c r="E65" s="56">
        <f>+E22/60</f>
        <v>22.533333333333335</v>
      </c>
      <c r="F65" s="56">
        <f t="shared" ref="F65:N65" si="15">+F22/60</f>
        <v>44.65</v>
      </c>
      <c r="G65" s="56">
        <f t="shared" si="15"/>
        <v>26.116666666666667</v>
      </c>
      <c r="H65" s="56">
        <f t="shared" si="15"/>
        <v>133.25</v>
      </c>
      <c r="I65" s="56">
        <f t="shared" si="15"/>
        <v>113.25</v>
      </c>
      <c r="J65" s="56">
        <f t="shared" si="15"/>
        <v>91.683333333333337</v>
      </c>
      <c r="K65" s="56">
        <f t="shared" si="15"/>
        <v>69.7</v>
      </c>
      <c r="L65" s="56">
        <f t="shared" si="15"/>
        <v>43.133333333333333</v>
      </c>
      <c r="M65" s="56">
        <f t="shared" si="15"/>
        <v>24.366666666666667</v>
      </c>
      <c r="N65" s="56">
        <f t="shared" si="15"/>
        <v>6.15</v>
      </c>
      <c r="O65" s="60">
        <f t="shared" si="8"/>
        <v>574.83333333333337</v>
      </c>
      <c r="P65" s="60">
        <f t="shared" si="9"/>
        <v>57.483333333333334</v>
      </c>
      <c r="Q65" s="59">
        <v>0.96</v>
      </c>
      <c r="R65" s="60">
        <f t="shared" si="10"/>
        <v>55.183999999999997</v>
      </c>
      <c r="S65" s="59">
        <v>1.1100000000000001</v>
      </c>
      <c r="T65" s="60">
        <f t="shared" si="11"/>
        <v>61.254240000000003</v>
      </c>
      <c r="V65" s="87">
        <v>6</v>
      </c>
      <c r="W65" s="309" t="s">
        <v>283</v>
      </c>
      <c r="X65" s="310"/>
      <c r="Y65" s="310"/>
      <c r="Z65" s="310"/>
      <c r="AA65" s="310"/>
      <c r="AB65" s="310"/>
      <c r="AC65" s="311"/>
      <c r="AD65" s="59"/>
      <c r="AE65" s="59"/>
      <c r="AF65" s="59"/>
      <c r="AG65" s="59"/>
      <c r="AH65" s="107"/>
      <c r="AI65" s="59"/>
      <c r="AJ65" s="59"/>
      <c r="AK65" s="59"/>
      <c r="AL65" s="59"/>
      <c r="AM65" s="107"/>
      <c r="AN65" s="59"/>
      <c r="AO65" s="59"/>
      <c r="AP65" s="59"/>
      <c r="AQ65" s="59"/>
      <c r="AR65" s="107"/>
      <c r="AS65" s="59"/>
      <c r="AT65" s="59"/>
      <c r="AU65" s="59"/>
      <c r="AV65" s="59"/>
      <c r="AW65" s="107"/>
      <c r="AX65" s="59"/>
      <c r="AY65" s="59"/>
      <c r="AZ65" s="59"/>
      <c r="BA65" s="59"/>
      <c r="BB65" s="106"/>
      <c r="BC65" s="59"/>
      <c r="BD65" s="59"/>
      <c r="BE65" s="59"/>
      <c r="BF65" s="59"/>
      <c r="BG65" s="107"/>
      <c r="BH65" s="59"/>
      <c r="BI65" s="59"/>
      <c r="BJ65" s="59"/>
      <c r="BK65" s="59"/>
      <c r="BL65" s="107"/>
      <c r="BM65" s="59">
        <v>0</v>
      </c>
      <c r="BN65" s="59">
        <v>0</v>
      </c>
      <c r="BO65" s="59">
        <v>0</v>
      </c>
      <c r="BP65" s="59">
        <v>-0.04</v>
      </c>
      <c r="BQ65" s="106">
        <v>-0.04</v>
      </c>
      <c r="BR65" s="59">
        <f>+BQ65</f>
        <v>-0.04</v>
      </c>
      <c r="BS65" s="108">
        <f t="shared" si="6"/>
        <v>0.96</v>
      </c>
    </row>
    <row r="66" spans="1:71" ht="13.5" customHeight="1" x14ac:dyDescent="0.25">
      <c r="E66" s="46">
        <f>SUM(E60:E65)</f>
        <v>455.63433333333336</v>
      </c>
      <c r="F66" s="46">
        <f t="shared" ref="F66:N66" si="16">SUM(F60:F65)</f>
        <v>464.97550000000001</v>
      </c>
      <c r="G66" s="46">
        <f t="shared" si="16"/>
        <v>451.64500000000004</v>
      </c>
      <c r="H66" s="46">
        <f t="shared" si="16"/>
        <v>560.81050000000005</v>
      </c>
      <c r="I66" s="46">
        <f t="shared" si="16"/>
        <v>537.49350000000004</v>
      </c>
      <c r="J66" s="46">
        <f t="shared" si="16"/>
        <v>514.71199999999999</v>
      </c>
      <c r="K66" s="46">
        <f t="shared" si="16"/>
        <v>494.09449999999998</v>
      </c>
      <c r="L66" s="46">
        <f t="shared" si="16"/>
        <v>471.87683333333337</v>
      </c>
      <c r="M66" s="46">
        <f t="shared" si="16"/>
        <v>445.85466666666667</v>
      </c>
      <c r="N66" s="46">
        <f t="shared" si="16"/>
        <v>432.69799999999998</v>
      </c>
    </row>
    <row r="67" spans="1:71" ht="13.5" customHeight="1" x14ac:dyDescent="0.25">
      <c r="A67" s="109"/>
      <c r="B67" s="94"/>
    </row>
    <row r="68" spans="1:71" ht="13.5" customHeight="1" x14ac:dyDescent="0.25"/>
    <row r="69" spans="1:71" ht="13.5" customHeight="1" x14ac:dyDescent="0.25"/>
    <row r="70" spans="1:71" ht="13.5" customHeight="1" x14ac:dyDescent="0.25">
      <c r="A70" s="256" t="s">
        <v>229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71" ht="13.5" customHeight="1" x14ac:dyDescent="0.25">
      <c r="A71" s="312" t="s">
        <v>263</v>
      </c>
      <c r="B71" s="312"/>
      <c r="C71" s="312"/>
      <c r="D71" s="312"/>
      <c r="E71" s="312"/>
      <c r="F71" s="312"/>
      <c r="G71" s="312"/>
      <c r="H71" s="312"/>
      <c r="I71" s="312"/>
      <c r="J71" s="312"/>
    </row>
    <row r="72" spans="1:71" ht="13.5" customHeight="1" x14ac:dyDescent="0.25">
      <c r="A72" s="312" t="s">
        <v>308</v>
      </c>
      <c r="B72" s="312"/>
      <c r="C72" s="312"/>
      <c r="D72" s="312"/>
      <c r="E72" s="312"/>
      <c r="F72" s="312"/>
      <c r="G72" s="312"/>
      <c r="H72" s="312"/>
      <c r="I72" s="312"/>
      <c r="J72" s="312"/>
    </row>
    <row r="73" spans="1:71" ht="13.5" customHeight="1" x14ac:dyDescent="0.25">
      <c r="A73" s="307" t="s">
        <v>202</v>
      </c>
      <c r="B73" s="246" t="s">
        <v>203</v>
      </c>
      <c r="C73" s="256" t="s">
        <v>232</v>
      </c>
      <c r="D73" s="256"/>
      <c r="E73" s="256" t="s">
        <v>233</v>
      </c>
      <c r="F73" s="256"/>
      <c r="G73" s="256"/>
      <c r="H73" s="256"/>
      <c r="I73" s="256"/>
      <c r="J73" s="299" t="s">
        <v>234</v>
      </c>
    </row>
    <row r="74" spans="1:71" ht="13.5" customHeight="1" x14ac:dyDescent="0.25">
      <c r="A74" s="307"/>
      <c r="B74" s="244"/>
      <c r="C74" s="57" t="s">
        <v>235</v>
      </c>
      <c r="D74" s="57" t="s">
        <v>236</v>
      </c>
      <c r="E74" s="57" t="s">
        <v>237</v>
      </c>
      <c r="F74" s="57" t="s">
        <v>238</v>
      </c>
      <c r="G74" s="57" t="s">
        <v>239</v>
      </c>
      <c r="H74" s="57" t="s">
        <v>240</v>
      </c>
      <c r="I74" s="57" t="s">
        <v>241</v>
      </c>
      <c r="J74" s="299"/>
    </row>
    <row r="75" spans="1:71" ht="13.5" customHeight="1" x14ac:dyDescent="0.25">
      <c r="A75" s="85">
        <v>1</v>
      </c>
      <c r="B75" s="42" t="s">
        <v>328</v>
      </c>
      <c r="C75" s="58">
        <v>1</v>
      </c>
      <c r="D75" s="58"/>
      <c r="E75" s="58"/>
      <c r="F75" s="58"/>
      <c r="G75" s="59"/>
      <c r="H75" s="59"/>
      <c r="I75" s="59"/>
      <c r="J75" s="60">
        <f>+T60</f>
        <v>23.840172815000006</v>
      </c>
    </row>
    <row r="76" spans="1:71" ht="13.5" customHeight="1" x14ac:dyDescent="0.25">
      <c r="A76" s="87">
        <v>2</v>
      </c>
      <c r="B76" s="42" t="s">
        <v>279</v>
      </c>
      <c r="C76" s="58"/>
      <c r="D76" s="110"/>
      <c r="E76" s="58"/>
      <c r="F76" s="110"/>
      <c r="G76" s="59">
        <v>1</v>
      </c>
      <c r="H76" s="59"/>
      <c r="I76" s="59"/>
      <c r="J76" s="60">
        <f t="shared" ref="J76:J80" si="17">+T61</f>
        <v>7.9679899600000015</v>
      </c>
    </row>
    <row r="77" spans="1:71" ht="13.5" customHeight="1" x14ac:dyDescent="0.25">
      <c r="A77" s="85">
        <v>3</v>
      </c>
      <c r="B77" s="42" t="s">
        <v>280</v>
      </c>
      <c r="C77" s="58"/>
      <c r="D77" s="62"/>
      <c r="E77" s="58"/>
      <c r="F77" s="58">
        <v>1</v>
      </c>
      <c r="G77" s="59"/>
      <c r="H77" s="59"/>
      <c r="I77" s="59"/>
      <c r="J77" s="60">
        <f t="shared" si="17"/>
        <v>420.81580000000002</v>
      </c>
    </row>
    <row r="78" spans="1:71" ht="13.5" customHeight="1" x14ac:dyDescent="0.25">
      <c r="A78" s="87">
        <v>4</v>
      </c>
      <c r="B78" s="42" t="s">
        <v>281</v>
      </c>
      <c r="C78" s="59"/>
      <c r="D78" s="59"/>
      <c r="E78" s="59"/>
      <c r="F78" s="59"/>
      <c r="G78" s="59">
        <v>1</v>
      </c>
      <c r="H78" s="59"/>
      <c r="I78" s="59"/>
      <c r="J78" s="60">
        <f t="shared" si="17"/>
        <v>0.76998109999999997</v>
      </c>
    </row>
    <row r="79" spans="1:71" ht="13.5" customHeight="1" x14ac:dyDescent="0.25">
      <c r="A79" s="85">
        <v>5</v>
      </c>
      <c r="B79" s="42" t="s">
        <v>282</v>
      </c>
      <c r="C79" s="59">
        <v>1</v>
      </c>
      <c r="D79" s="59"/>
      <c r="E79" s="59"/>
      <c r="F79" s="59"/>
      <c r="G79" s="59"/>
      <c r="H79" s="59"/>
      <c r="I79" s="59"/>
      <c r="J79" s="60">
        <f t="shared" si="17"/>
        <v>19.533432940000004</v>
      </c>
    </row>
    <row r="80" spans="1:71" ht="13.5" customHeight="1" x14ac:dyDescent="0.25">
      <c r="A80" s="87">
        <v>6</v>
      </c>
      <c r="B80" s="42" t="s">
        <v>283</v>
      </c>
      <c r="C80" s="59"/>
      <c r="D80" s="59">
        <v>1</v>
      </c>
      <c r="E80" s="59"/>
      <c r="F80" s="59"/>
      <c r="G80" s="59"/>
      <c r="H80" s="59"/>
      <c r="I80" s="59"/>
      <c r="J80" s="60">
        <f t="shared" si="17"/>
        <v>61.254240000000003</v>
      </c>
    </row>
    <row r="81" spans="1:10" ht="13.5" customHeight="1" x14ac:dyDescent="0.25">
      <c r="A81" s="42"/>
      <c r="B81" s="59"/>
      <c r="C81" s="59"/>
      <c r="D81" s="59"/>
      <c r="E81" s="59"/>
      <c r="F81" s="111"/>
      <c r="G81" s="59"/>
      <c r="H81" s="59"/>
      <c r="I81" s="59"/>
      <c r="J81" s="59"/>
    </row>
    <row r="82" spans="1:10" ht="13.5" customHeight="1" x14ac:dyDescent="0.25">
      <c r="A82" s="42"/>
      <c r="B82" s="42"/>
      <c r="C82" s="59"/>
      <c r="D82" s="59"/>
      <c r="E82" s="59"/>
      <c r="F82" s="59"/>
      <c r="G82" s="111"/>
      <c r="H82" s="59"/>
      <c r="I82" s="59"/>
      <c r="J82" s="59"/>
    </row>
    <row r="83" spans="1:10" ht="13.5" customHeight="1" x14ac:dyDescent="0.25">
      <c r="A83" s="42"/>
      <c r="B83" s="42"/>
      <c r="C83" s="59"/>
      <c r="D83" s="59"/>
      <c r="E83" s="59"/>
      <c r="F83" s="59"/>
      <c r="G83" s="59"/>
      <c r="H83" s="59"/>
      <c r="I83" s="59"/>
      <c r="J83" s="43"/>
    </row>
    <row r="84" spans="1:10" ht="13.5" customHeight="1" x14ac:dyDescent="0.25">
      <c r="A84" s="253" t="s">
        <v>149</v>
      </c>
      <c r="B84" s="254"/>
      <c r="C84" s="64">
        <f t="shared" ref="C84:I84" si="18">+SUM(C75:C83)</f>
        <v>2</v>
      </c>
      <c r="D84" s="64">
        <f t="shared" si="18"/>
        <v>1</v>
      </c>
      <c r="E84" s="64">
        <f t="shared" si="18"/>
        <v>0</v>
      </c>
      <c r="F84" s="64">
        <f t="shared" si="18"/>
        <v>1</v>
      </c>
      <c r="G84" s="64">
        <f t="shared" si="18"/>
        <v>2</v>
      </c>
      <c r="H84" s="64">
        <f t="shared" si="18"/>
        <v>0</v>
      </c>
      <c r="I84" s="64">
        <f t="shared" si="18"/>
        <v>0</v>
      </c>
      <c r="J84" s="65">
        <f>+SUM(J75:J80)</f>
        <v>534.1816168150001</v>
      </c>
    </row>
    <row r="85" spans="1:10" ht="13.5" customHeight="1" x14ac:dyDescent="0.25">
      <c r="C85" s="112"/>
      <c r="D85" s="112"/>
      <c r="E85" s="112"/>
      <c r="F85" s="112"/>
      <c r="G85" s="112"/>
      <c r="H85" s="112"/>
      <c r="I85" s="112"/>
      <c r="J85" s="113"/>
    </row>
    <row r="86" spans="1:10" ht="13.5" customHeight="1" x14ac:dyDescent="0.25">
      <c r="A86" s="253" t="s">
        <v>247</v>
      </c>
      <c r="B86" s="254"/>
      <c r="C86" s="71" t="s">
        <v>202</v>
      </c>
      <c r="D86" s="71" t="s">
        <v>234</v>
      </c>
      <c r="E86" s="71" t="s">
        <v>5</v>
      </c>
      <c r="F86" s="112"/>
      <c r="G86" s="112"/>
      <c r="H86" s="112"/>
      <c r="I86" s="112"/>
      <c r="J86" s="113"/>
    </row>
    <row r="87" spans="1:10" ht="13.5" customHeight="1" x14ac:dyDescent="0.25">
      <c r="A87" s="42" t="s">
        <v>235</v>
      </c>
      <c r="B87" s="42" t="s">
        <v>248</v>
      </c>
      <c r="C87" s="67">
        <f>+C84</f>
        <v>2</v>
      </c>
      <c r="D87" s="68">
        <f>J75+J79</f>
        <v>43.373605755000014</v>
      </c>
      <c r="E87" s="69">
        <f>+(D87/$D$94)</f>
        <v>8.1196365411468935E-2</v>
      </c>
      <c r="F87" s="112"/>
      <c r="G87" s="112"/>
      <c r="H87" s="112"/>
      <c r="I87" s="112"/>
      <c r="J87" s="113"/>
    </row>
    <row r="88" spans="1:10" ht="13.5" customHeight="1" x14ac:dyDescent="0.25">
      <c r="A88" s="42" t="s">
        <v>249</v>
      </c>
      <c r="B88" s="42" t="s">
        <v>250</v>
      </c>
      <c r="C88" s="67">
        <f>+D84</f>
        <v>1</v>
      </c>
      <c r="D88" s="68">
        <f>J80</f>
        <v>61.254240000000003</v>
      </c>
      <c r="E88" s="69">
        <f t="shared" ref="E88:E93" si="19">+(D88/$D$94)</f>
        <v>0.11466931483943939</v>
      </c>
      <c r="F88" s="112"/>
      <c r="G88" s="112"/>
      <c r="H88" s="112"/>
      <c r="I88" s="112"/>
      <c r="J88" s="113"/>
    </row>
    <row r="89" spans="1:10" ht="13.5" customHeight="1" x14ac:dyDescent="0.25">
      <c r="A89" s="42" t="s">
        <v>237</v>
      </c>
      <c r="B89" s="42" t="s">
        <v>251</v>
      </c>
      <c r="C89" s="67">
        <f>+E84</f>
        <v>0</v>
      </c>
      <c r="D89" s="68">
        <v>0</v>
      </c>
      <c r="E89" s="69">
        <f t="shared" si="19"/>
        <v>0</v>
      </c>
      <c r="F89" s="112"/>
      <c r="G89" s="112"/>
      <c r="H89" s="112"/>
      <c r="I89" s="112"/>
      <c r="J89" s="112"/>
    </row>
    <row r="90" spans="1:10" ht="13.5" customHeight="1" x14ac:dyDescent="0.25">
      <c r="A90" s="42" t="s">
        <v>238</v>
      </c>
      <c r="B90" s="42" t="s">
        <v>252</v>
      </c>
      <c r="C90" s="67">
        <f>+F84</f>
        <v>1</v>
      </c>
      <c r="D90" s="68">
        <f>J77</f>
        <v>420.81580000000002</v>
      </c>
      <c r="E90" s="69">
        <f t="shared" si="19"/>
        <v>0.7877766414147096</v>
      </c>
      <c r="F90" s="112"/>
      <c r="G90" s="112"/>
      <c r="H90" s="112"/>
      <c r="I90" s="112"/>
      <c r="J90" s="112"/>
    </row>
    <row r="91" spans="1:10" ht="13.5" customHeight="1" x14ac:dyDescent="0.25">
      <c r="A91" s="42" t="s">
        <v>239</v>
      </c>
      <c r="B91" s="42" t="s">
        <v>253</v>
      </c>
      <c r="C91" s="67">
        <f>+G84</f>
        <v>2</v>
      </c>
      <c r="D91" s="68">
        <f>J76+J78</f>
        <v>8.7379710600000013</v>
      </c>
      <c r="E91" s="69">
        <f t="shared" si="19"/>
        <v>1.6357678334382241E-2</v>
      </c>
      <c r="F91" s="112"/>
      <c r="G91" s="112"/>
      <c r="H91" s="112"/>
      <c r="I91" s="112"/>
      <c r="J91" s="112"/>
    </row>
    <row r="92" spans="1:10" ht="13.5" customHeight="1" x14ac:dyDescent="0.25">
      <c r="A92" s="42" t="s">
        <v>240</v>
      </c>
      <c r="B92" s="42" t="s">
        <v>254</v>
      </c>
      <c r="C92" s="67">
        <f>+H84</f>
        <v>0</v>
      </c>
      <c r="D92" s="68">
        <v>0</v>
      </c>
      <c r="E92" s="69">
        <f t="shared" si="19"/>
        <v>0</v>
      </c>
      <c r="F92" s="112"/>
      <c r="G92" s="112"/>
      <c r="H92" s="112"/>
      <c r="I92" s="112"/>
      <c r="J92" s="112"/>
    </row>
    <row r="93" spans="1:10" ht="13.5" customHeight="1" x14ac:dyDescent="0.25">
      <c r="A93" s="42" t="s">
        <v>241</v>
      </c>
      <c r="B93" s="42" t="s">
        <v>255</v>
      </c>
      <c r="C93" s="67">
        <f>+I84</f>
        <v>0</v>
      </c>
      <c r="D93" s="68">
        <v>0</v>
      </c>
      <c r="E93" s="69">
        <f t="shared" si="19"/>
        <v>0</v>
      </c>
      <c r="F93" s="112"/>
      <c r="G93" s="112"/>
      <c r="H93" s="112"/>
      <c r="I93" s="112"/>
      <c r="J93" s="112"/>
    </row>
    <row r="94" spans="1:10" ht="13.5" customHeight="1" x14ac:dyDescent="0.25">
      <c r="A94" s="70" t="s">
        <v>256</v>
      </c>
      <c r="B94" s="70" t="s">
        <v>149</v>
      </c>
      <c r="C94" s="71">
        <f>+SUM(C87:C93)</f>
        <v>6</v>
      </c>
      <c r="D94" s="72">
        <f>+SUM(D87:D93)</f>
        <v>534.18161681499998</v>
      </c>
      <c r="E94" s="114">
        <f>+SUM(E87:E93)</f>
        <v>1.0000000000000002</v>
      </c>
      <c r="F94" s="112"/>
      <c r="G94" s="112"/>
      <c r="H94" s="112"/>
      <c r="I94" s="112"/>
    </row>
    <row r="95" spans="1:10" ht="13.5" customHeight="1" x14ac:dyDescent="0.25">
      <c r="A95" s="74" t="s">
        <v>257</v>
      </c>
      <c r="B95" s="255"/>
      <c r="C95" s="255"/>
      <c r="D95" s="75">
        <f>+D87+D88</f>
        <v>104.62784575500001</v>
      </c>
      <c r="E95" s="115"/>
    </row>
    <row r="96" spans="1:10" ht="13.5" customHeight="1" x14ac:dyDescent="0.25">
      <c r="A96" s="76" t="s">
        <v>258</v>
      </c>
      <c r="B96" s="255"/>
      <c r="C96" s="255"/>
      <c r="D96" s="77">
        <f>+(D95/D94)</f>
        <v>0.19586568025090831</v>
      </c>
      <c r="E96" s="115"/>
    </row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</sheetData>
  <mergeCells count="131">
    <mergeCell ref="A84:B84"/>
    <mergeCell ref="A86:B86"/>
    <mergeCell ref="B95:C95"/>
    <mergeCell ref="B96:C96"/>
    <mergeCell ref="W65:AC65"/>
    <mergeCell ref="A70:J70"/>
    <mergeCell ref="A71:J71"/>
    <mergeCell ref="A72:J72"/>
    <mergeCell ref="A73:A74"/>
    <mergeCell ref="B73:B74"/>
    <mergeCell ref="C73:D73"/>
    <mergeCell ref="E73:I73"/>
    <mergeCell ref="J73:J74"/>
    <mergeCell ref="BQ58:BQ59"/>
    <mergeCell ref="W60:AC60"/>
    <mergeCell ref="W61:AC61"/>
    <mergeCell ref="W62:AC62"/>
    <mergeCell ref="W63:AC63"/>
    <mergeCell ref="W64:AC64"/>
    <mergeCell ref="BK58:BK59"/>
    <mergeCell ref="BL58:BL59"/>
    <mergeCell ref="BM58:BM59"/>
    <mergeCell ref="BN58:BN59"/>
    <mergeCell ref="BO58:BO59"/>
    <mergeCell ref="BP58:BP59"/>
    <mergeCell ref="BE58:BE59"/>
    <mergeCell ref="BF58:BF59"/>
    <mergeCell ref="BG58:BG59"/>
    <mergeCell ref="BH58:BH59"/>
    <mergeCell ref="BI58:BI59"/>
    <mergeCell ref="BJ58:BJ59"/>
    <mergeCell ref="AY58:AY59"/>
    <mergeCell ref="AZ58:AZ59"/>
    <mergeCell ref="BA58:BA59"/>
    <mergeCell ref="BB58:BB59"/>
    <mergeCell ref="BC58:BC59"/>
    <mergeCell ref="BD58:BD59"/>
    <mergeCell ref="AS58:AS59"/>
    <mergeCell ref="AT58:AT59"/>
    <mergeCell ref="AU58:AU59"/>
    <mergeCell ref="AV58:AV59"/>
    <mergeCell ref="AW58:AW59"/>
    <mergeCell ref="AX58:AX59"/>
    <mergeCell ref="AM58:AM59"/>
    <mergeCell ref="AN58:AN59"/>
    <mergeCell ref="AO58:AO59"/>
    <mergeCell ref="AP58:AP59"/>
    <mergeCell ref="AQ58:AQ59"/>
    <mergeCell ref="AR58:AR59"/>
    <mergeCell ref="AG58:AG59"/>
    <mergeCell ref="AH58:AH59"/>
    <mergeCell ref="AI58:AI59"/>
    <mergeCell ref="AJ58:AJ59"/>
    <mergeCell ref="AK58:AK59"/>
    <mergeCell ref="AL58:AL59"/>
    <mergeCell ref="R58:R59"/>
    <mergeCell ref="S58:S59"/>
    <mergeCell ref="T58:T59"/>
    <mergeCell ref="AD58:AD59"/>
    <mergeCell ref="AE58:AE59"/>
    <mergeCell ref="AF58:AF59"/>
    <mergeCell ref="BR57:BR59"/>
    <mergeCell ref="BS57:BS59"/>
    <mergeCell ref="A58:A59"/>
    <mergeCell ref="B58:B59"/>
    <mergeCell ref="C58:C59"/>
    <mergeCell ref="D58:D59"/>
    <mergeCell ref="E58:N58"/>
    <mergeCell ref="O58:O59"/>
    <mergeCell ref="P58:P59"/>
    <mergeCell ref="Q58:Q59"/>
    <mergeCell ref="AN57:AR57"/>
    <mergeCell ref="AS57:AW57"/>
    <mergeCell ref="AX57:BB57"/>
    <mergeCell ref="BC57:BG57"/>
    <mergeCell ref="BH57:BL57"/>
    <mergeCell ref="BM57:BQ57"/>
    <mergeCell ref="A54:D57"/>
    <mergeCell ref="E54:M57"/>
    <mergeCell ref="N54:T57"/>
    <mergeCell ref="V54:BS54"/>
    <mergeCell ref="V55:BN55"/>
    <mergeCell ref="V56:BS56"/>
    <mergeCell ref="V57:V59"/>
    <mergeCell ref="W57:AC59"/>
    <mergeCell ref="A48:D49"/>
    <mergeCell ref="E48:M49"/>
    <mergeCell ref="N48:T49"/>
    <mergeCell ref="V49:AC49"/>
    <mergeCell ref="BG8:BG9"/>
    <mergeCell ref="BL8:BL9"/>
    <mergeCell ref="BQ8:BQ9"/>
    <mergeCell ref="AD57:AH57"/>
    <mergeCell ref="AI57:AM57"/>
    <mergeCell ref="A50:D51"/>
    <mergeCell ref="E50:M51"/>
    <mergeCell ref="N50:T51"/>
    <mergeCell ref="V50:AC50"/>
    <mergeCell ref="V51:AC51"/>
    <mergeCell ref="A52:D53"/>
    <mergeCell ref="E52:M53"/>
    <mergeCell ref="N52:T53"/>
    <mergeCell ref="V52:AC52"/>
    <mergeCell ref="V53:AC53"/>
    <mergeCell ref="BR8:BR9"/>
    <mergeCell ref="A9:A10"/>
    <mergeCell ref="B9:B10"/>
    <mergeCell ref="C9:C10"/>
    <mergeCell ref="D9:D10"/>
    <mergeCell ref="E9:N9"/>
    <mergeCell ref="U9:V9"/>
    <mergeCell ref="AC8:AC9"/>
    <mergeCell ref="AH8:AH9"/>
    <mergeCell ref="AM8:AM9"/>
    <mergeCell ref="AR8:AR9"/>
    <mergeCell ref="AW8:AW9"/>
    <mergeCell ref="BB8:BB9"/>
    <mergeCell ref="S10:S21"/>
    <mergeCell ref="T10:T21"/>
    <mergeCell ref="A5:F6"/>
    <mergeCell ref="G5:O6"/>
    <mergeCell ref="P5:V6"/>
    <mergeCell ref="A7:F8"/>
    <mergeCell ref="G7:O8"/>
    <mergeCell ref="P7:V8"/>
    <mergeCell ref="A1:F2"/>
    <mergeCell ref="G1:O2"/>
    <mergeCell ref="P1:V2"/>
    <mergeCell ref="A3:F4"/>
    <mergeCell ref="G3:O4"/>
    <mergeCell ref="P3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7"/>
  <sheetViews>
    <sheetView topLeftCell="D1" zoomScaleNormal="100" workbookViewId="0">
      <selection activeCell="Y45" sqref="Y45"/>
    </sheetView>
  </sheetViews>
  <sheetFormatPr baseColWidth="10" defaultRowHeight="15" outlineLevelRow="2" x14ac:dyDescent="0.25"/>
  <cols>
    <col min="1" max="1" width="5.7109375" customWidth="1"/>
    <col min="2" max="2" width="68.28515625" customWidth="1"/>
    <col min="3" max="24" width="9.42578125" customWidth="1"/>
    <col min="25" max="30" width="18.42578125" customWidth="1"/>
    <col min="32" max="32" width="13.42578125" customWidth="1"/>
    <col min="33" max="33" width="5" customWidth="1"/>
    <col min="38" max="38" width="13" customWidth="1"/>
    <col min="39" max="39" width="8.42578125" customWidth="1"/>
    <col min="40" max="69" width="6.42578125" customWidth="1"/>
    <col min="70" max="71" width="13.7109375" customWidth="1"/>
  </cols>
  <sheetData>
    <row r="1" spans="1:36" x14ac:dyDescent="0.25">
      <c r="A1" s="264" t="s">
        <v>330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 t="s">
        <v>260</v>
      </c>
      <c r="R1" s="264"/>
      <c r="S1" s="264"/>
      <c r="T1" s="264"/>
      <c r="U1" s="264"/>
      <c r="V1" s="264"/>
      <c r="W1" s="264"/>
      <c r="X1" s="264"/>
      <c r="Y1" s="264"/>
      <c r="Z1" s="116"/>
      <c r="AA1" s="116"/>
      <c r="AB1" s="116"/>
      <c r="AC1" s="313" t="s">
        <v>331</v>
      </c>
      <c r="AD1" s="314"/>
      <c r="AE1" s="314"/>
      <c r="AF1" s="314"/>
      <c r="AG1" s="314"/>
      <c r="AH1" s="314"/>
      <c r="AI1" s="315"/>
    </row>
    <row r="2" spans="1:36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116"/>
      <c r="AA2" s="116"/>
      <c r="AB2" s="116"/>
      <c r="AC2" s="316"/>
      <c r="AD2" s="317"/>
      <c r="AE2" s="317"/>
      <c r="AF2" s="317"/>
      <c r="AG2" s="317"/>
      <c r="AH2" s="317"/>
      <c r="AI2" s="318"/>
    </row>
    <row r="3" spans="1:36" ht="15" customHeight="1" x14ac:dyDescent="0.25">
      <c r="A3" s="264" t="s">
        <v>332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6" t="s">
        <v>263</v>
      </c>
      <c r="R3" s="266"/>
      <c r="S3" s="266"/>
      <c r="T3" s="266"/>
      <c r="U3" s="266"/>
      <c r="V3" s="266"/>
      <c r="W3" s="266"/>
      <c r="X3" s="266"/>
      <c r="Y3" s="266"/>
      <c r="Z3" s="117"/>
      <c r="AA3" s="117"/>
      <c r="AB3" s="117"/>
      <c r="AC3" s="264" t="s">
        <v>333</v>
      </c>
      <c r="AD3" s="264"/>
      <c r="AE3" s="264"/>
      <c r="AF3" s="264"/>
      <c r="AG3" s="264"/>
      <c r="AH3" s="264"/>
      <c r="AI3" s="264"/>
    </row>
    <row r="4" spans="1:36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6"/>
      <c r="R4" s="266"/>
      <c r="S4" s="266"/>
      <c r="T4" s="266"/>
      <c r="U4" s="266"/>
      <c r="V4" s="266"/>
      <c r="W4" s="266"/>
      <c r="X4" s="266"/>
      <c r="Y4" s="266"/>
      <c r="Z4" s="117"/>
      <c r="AA4" s="117"/>
      <c r="AB4" s="117"/>
      <c r="AC4" s="264"/>
      <c r="AD4" s="264"/>
      <c r="AE4" s="264"/>
      <c r="AF4" s="264"/>
      <c r="AG4" s="264"/>
      <c r="AH4" s="264"/>
      <c r="AI4" s="264"/>
    </row>
    <row r="5" spans="1:36" x14ac:dyDescent="0.25">
      <c r="A5" s="264" t="s">
        <v>334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 t="s">
        <v>335</v>
      </c>
      <c r="R5" s="264"/>
      <c r="S5" s="264"/>
      <c r="T5" s="264"/>
      <c r="U5" s="264"/>
      <c r="V5" s="264"/>
      <c r="W5" s="264"/>
      <c r="X5" s="264"/>
      <c r="Y5" s="264"/>
      <c r="Z5" s="116"/>
      <c r="AA5" s="116"/>
      <c r="AB5" s="116"/>
      <c r="AC5" s="264" t="s">
        <v>336</v>
      </c>
      <c r="AD5" s="264"/>
      <c r="AE5" s="264"/>
      <c r="AF5" s="264"/>
      <c r="AG5" s="264"/>
      <c r="AH5" s="264"/>
      <c r="AI5" s="264"/>
    </row>
    <row r="6" spans="1:36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116"/>
      <c r="AA6" s="116"/>
      <c r="AB6" s="116"/>
      <c r="AC6" s="264"/>
      <c r="AD6" s="264"/>
      <c r="AE6" s="264"/>
      <c r="AF6" s="264"/>
      <c r="AG6" s="264"/>
      <c r="AH6" s="264"/>
      <c r="AI6" s="264"/>
    </row>
    <row r="7" spans="1:36" x14ac:dyDescent="0.2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4" t="s">
        <v>337</v>
      </c>
      <c r="R7" s="264"/>
      <c r="S7" s="264"/>
      <c r="T7" s="264"/>
      <c r="U7" s="264"/>
      <c r="V7" s="264"/>
      <c r="W7" s="264"/>
      <c r="X7" s="264"/>
      <c r="Y7" s="264"/>
      <c r="Z7" s="116"/>
      <c r="AA7" s="116"/>
      <c r="AB7" s="116"/>
      <c r="AC7" s="266" t="s">
        <v>338</v>
      </c>
      <c r="AD7" s="264"/>
      <c r="AE7" s="264"/>
      <c r="AF7" s="264"/>
      <c r="AG7" s="264"/>
      <c r="AH7" s="264"/>
      <c r="AI7" s="264"/>
    </row>
    <row r="8" spans="1:36" ht="18" customHeight="1" x14ac:dyDescent="0.25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4"/>
      <c r="R8" s="264"/>
      <c r="S8" s="264"/>
      <c r="T8" s="264"/>
      <c r="U8" s="264"/>
      <c r="V8" s="264"/>
      <c r="W8" s="264"/>
      <c r="X8" s="264"/>
      <c r="Y8" s="264"/>
      <c r="Z8" s="116"/>
      <c r="AA8" s="116"/>
      <c r="AB8" s="116"/>
      <c r="AC8" s="264"/>
      <c r="AD8" s="264"/>
      <c r="AE8" s="264"/>
      <c r="AF8" s="264"/>
      <c r="AG8" s="264"/>
      <c r="AH8" s="264"/>
      <c r="AI8" s="264"/>
    </row>
    <row r="9" spans="1:36" x14ac:dyDescent="0.25">
      <c r="A9" s="268" t="s">
        <v>202</v>
      </c>
      <c r="B9" s="319" t="s">
        <v>203</v>
      </c>
      <c r="C9" s="320" t="s">
        <v>269</v>
      </c>
      <c r="D9" s="320" t="s">
        <v>270</v>
      </c>
      <c r="E9" s="271" t="s">
        <v>204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3"/>
      <c r="Y9" s="268" t="s">
        <v>205</v>
      </c>
      <c r="Z9" s="79"/>
      <c r="AA9" s="79"/>
      <c r="AB9" s="79"/>
      <c r="AC9" s="268" t="s">
        <v>271</v>
      </c>
      <c r="AD9" s="79"/>
      <c r="AE9" s="268" t="s">
        <v>272</v>
      </c>
      <c r="AF9" s="268" t="s">
        <v>273</v>
      </c>
      <c r="AG9" s="268" t="s">
        <v>274</v>
      </c>
      <c r="AH9" s="268" t="s">
        <v>275</v>
      </c>
      <c r="AI9" s="225" t="s">
        <v>276</v>
      </c>
      <c r="AJ9" s="225"/>
    </row>
    <row r="10" spans="1:36" x14ac:dyDescent="0.25">
      <c r="A10" s="268"/>
      <c r="B10" s="319"/>
      <c r="C10" s="321"/>
      <c r="D10" s="321"/>
      <c r="E10" s="118">
        <v>1</v>
      </c>
      <c r="F10" s="118">
        <v>2</v>
      </c>
      <c r="G10" s="118">
        <v>3</v>
      </c>
      <c r="H10" s="118">
        <v>4</v>
      </c>
      <c r="I10" s="118">
        <v>5</v>
      </c>
      <c r="J10" s="118">
        <v>6</v>
      </c>
      <c r="K10" s="118">
        <v>7</v>
      </c>
      <c r="L10" s="118">
        <v>8</v>
      </c>
      <c r="M10" s="118">
        <v>9</v>
      </c>
      <c r="N10" s="118">
        <v>10</v>
      </c>
      <c r="O10" s="118">
        <v>11</v>
      </c>
      <c r="P10" s="118">
        <v>12</v>
      </c>
      <c r="Q10" s="118">
        <v>13</v>
      </c>
      <c r="R10" s="118">
        <v>14</v>
      </c>
      <c r="S10" s="118">
        <v>15</v>
      </c>
      <c r="T10" s="118">
        <v>16</v>
      </c>
      <c r="U10" s="118">
        <v>17</v>
      </c>
      <c r="V10" s="118">
        <v>18</v>
      </c>
      <c r="W10" s="118">
        <v>19</v>
      </c>
      <c r="X10" s="118">
        <v>20</v>
      </c>
      <c r="Y10" s="268"/>
      <c r="Z10" s="79"/>
      <c r="AA10" s="79"/>
      <c r="AB10" s="79"/>
      <c r="AC10" s="268"/>
      <c r="AD10" s="79"/>
      <c r="AE10" s="268"/>
      <c r="AF10" s="268"/>
      <c r="AG10" s="268"/>
      <c r="AH10" s="268"/>
      <c r="AI10" s="225"/>
      <c r="AJ10" s="225"/>
    </row>
    <row r="11" spans="1:36" x14ac:dyDescent="0.25">
      <c r="A11" s="42">
        <v>1</v>
      </c>
      <c r="B11" s="42" t="s">
        <v>339</v>
      </c>
      <c r="C11" s="42"/>
      <c r="D11" s="42" t="s">
        <v>278</v>
      </c>
      <c r="E11" s="119">
        <v>1.3393287037037037E-2</v>
      </c>
      <c r="F11" s="119">
        <v>1.3127314814814814E-2</v>
      </c>
      <c r="G11" s="119">
        <v>1.2673958333333332E-2</v>
      </c>
      <c r="H11" s="119">
        <v>1.4138194444444446E-2</v>
      </c>
      <c r="I11" s="119">
        <v>1.333460648148148E-2</v>
      </c>
      <c r="J11" s="119">
        <v>1.3228703703703703E-2</v>
      </c>
      <c r="K11" s="119">
        <v>1.3185532407407408E-2</v>
      </c>
      <c r="L11" s="119">
        <v>1.3475578703703703E-2</v>
      </c>
      <c r="M11" s="119">
        <v>1.3137499999999998E-2</v>
      </c>
      <c r="N11" s="119">
        <v>1.5921180555555556E-2</v>
      </c>
      <c r="O11" s="119">
        <v>1.3053125E-2</v>
      </c>
      <c r="P11" s="119">
        <v>1.306122685185185E-2</v>
      </c>
      <c r="Q11" s="119">
        <v>1.2712384259259258E-2</v>
      </c>
      <c r="R11" s="119">
        <v>1.2659837962962961E-2</v>
      </c>
      <c r="S11" s="119">
        <v>1.2915625E-2</v>
      </c>
      <c r="T11" s="119">
        <v>1.2696064814814815E-2</v>
      </c>
      <c r="U11" s="119">
        <v>1.2635300925925923E-2</v>
      </c>
      <c r="V11" s="119">
        <v>1.2669212962962964E-2</v>
      </c>
      <c r="W11" s="119">
        <v>1.2806712962962962E-2</v>
      </c>
      <c r="X11" s="119">
        <v>1.2854976851851852E-2</v>
      </c>
      <c r="Y11" s="120"/>
      <c r="Z11" s="120"/>
      <c r="AA11" s="120"/>
      <c r="AB11" s="120"/>
      <c r="AC11" s="43"/>
      <c r="AD11" s="121">
        <f>0+0-0.03+0+1</f>
        <v>0.97</v>
      </c>
      <c r="AE11" s="331"/>
      <c r="AF11" s="43"/>
      <c r="AG11" s="334">
        <f>0.05+0.04+0.02</f>
        <v>0.11</v>
      </c>
      <c r="AH11" s="43"/>
      <c r="AI11" s="43"/>
      <c r="AJ11" s="43"/>
    </row>
    <row r="12" spans="1:36" ht="15" customHeight="1" outlineLevel="1" x14ac:dyDescent="0.25">
      <c r="A12" s="42"/>
      <c r="B12" s="42"/>
      <c r="C12" s="42"/>
      <c r="D12" s="42"/>
      <c r="E12" s="122">
        <v>1157.18</v>
      </c>
      <c r="F12" s="122">
        <v>1134.2</v>
      </c>
      <c r="G12" s="122">
        <v>1095.03</v>
      </c>
      <c r="H12" s="122">
        <v>1221.51</v>
      </c>
      <c r="I12" s="122">
        <v>1152.1099999999999</v>
      </c>
      <c r="J12" s="122">
        <v>1142.96</v>
      </c>
      <c r="K12" s="122">
        <v>1139.28</v>
      </c>
      <c r="L12" s="122">
        <v>1164.29</v>
      </c>
      <c r="M12" s="122">
        <v>1135.08</v>
      </c>
      <c r="N12" s="122">
        <v>1375.59</v>
      </c>
      <c r="O12" s="122">
        <v>1127.79</v>
      </c>
      <c r="P12" s="122">
        <v>1128.49</v>
      </c>
      <c r="Q12" s="122">
        <v>1098.3499999999999</v>
      </c>
      <c r="R12" s="122">
        <v>1093.81</v>
      </c>
      <c r="S12" s="122">
        <v>1115.9100000000001</v>
      </c>
      <c r="T12" s="122">
        <v>1096.94</v>
      </c>
      <c r="U12" s="122">
        <v>1091.69</v>
      </c>
      <c r="V12" s="122">
        <v>1094.6199999999999</v>
      </c>
      <c r="W12" s="122">
        <v>1106.5</v>
      </c>
      <c r="X12" s="122">
        <v>1110.67</v>
      </c>
      <c r="Y12" s="123"/>
      <c r="Z12" s="124"/>
      <c r="AA12" s="124"/>
      <c r="AB12" s="124"/>
      <c r="AC12" s="43"/>
      <c r="AD12" s="125"/>
      <c r="AE12" s="332"/>
      <c r="AF12" s="43"/>
      <c r="AG12" s="335"/>
      <c r="AH12" s="43"/>
      <c r="AI12" s="43"/>
      <c r="AJ12" s="43"/>
    </row>
    <row r="13" spans="1:36" ht="15" customHeight="1" outlineLevel="1" x14ac:dyDescent="0.25">
      <c r="A13" s="42"/>
      <c r="B13" s="42"/>
      <c r="C13" s="42"/>
      <c r="D13" s="42"/>
      <c r="E13" s="126">
        <f>+E12/60</f>
        <v>19.286333333333335</v>
      </c>
      <c r="F13" s="126">
        <f>+F12/60</f>
        <v>18.903333333333332</v>
      </c>
      <c r="G13" s="126">
        <f t="shared" ref="G13:X13" si="0">+G12/60</f>
        <v>18.250499999999999</v>
      </c>
      <c r="H13" s="126">
        <f t="shared" si="0"/>
        <v>20.358499999999999</v>
      </c>
      <c r="I13" s="126">
        <f t="shared" si="0"/>
        <v>19.201833333333333</v>
      </c>
      <c r="J13" s="126">
        <f t="shared" si="0"/>
        <v>19.049333333333333</v>
      </c>
      <c r="K13" s="126">
        <f t="shared" si="0"/>
        <v>18.988</v>
      </c>
      <c r="L13" s="126">
        <f t="shared" si="0"/>
        <v>19.404833333333332</v>
      </c>
      <c r="M13" s="126">
        <f t="shared" si="0"/>
        <v>18.917999999999999</v>
      </c>
      <c r="N13" s="126">
        <f t="shared" si="0"/>
        <v>22.926499999999997</v>
      </c>
      <c r="O13" s="126">
        <f t="shared" si="0"/>
        <v>18.796499999999998</v>
      </c>
      <c r="P13" s="126">
        <f t="shared" si="0"/>
        <v>18.808166666666668</v>
      </c>
      <c r="Q13" s="126">
        <f t="shared" si="0"/>
        <v>18.305833333333332</v>
      </c>
      <c r="R13" s="126">
        <f t="shared" si="0"/>
        <v>18.230166666666666</v>
      </c>
      <c r="S13" s="126">
        <f t="shared" si="0"/>
        <v>18.598500000000001</v>
      </c>
      <c r="T13" s="126">
        <f t="shared" si="0"/>
        <v>18.282333333333334</v>
      </c>
      <c r="U13" s="126">
        <f t="shared" si="0"/>
        <v>18.194833333333335</v>
      </c>
      <c r="V13" s="126">
        <f t="shared" si="0"/>
        <v>18.243666666666666</v>
      </c>
      <c r="W13" s="126">
        <f t="shared" si="0"/>
        <v>18.441666666666666</v>
      </c>
      <c r="X13" s="126">
        <f t="shared" si="0"/>
        <v>18.511166666666668</v>
      </c>
      <c r="Y13" s="124"/>
      <c r="Z13" s="124"/>
      <c r="AA13" s="124"/>
      <c r="AB13" s="124"/>
      <c r="AC13" s="43"/>
      <c r="AD13" s="125"/>
      <c r="AE13" s="332"/>
      <c r="AF13" s="43"/>
      <c r="AG13" s="335"/>
      <c r="AH13" s="43"/>
      <c r="AI13" s="43"/>
      <c r="AJ13" s="43"/>
    </row>
    <row r="14" spans="1:36" x14ac:dyDescent="0.25">
      <c r="A14" s="42">
        <v>2</v>
      </c>
      <c r="B14" s="42" t="s">
        <v>340</v>
      </c>
      <c r="C14" s="42" t="s">
        <v>278</v>
      </c>
      <c r="D14" s="42"/>
      <c r="E14" s="119">
        <v>6.5002314814814818E-3</v>
      </c>
      <c r="F14" s="119">
        <v>2.0475694444444443E-3</v>
      </c>
      <c r="G14" s="119">
        <v>1.9533564814814817E-3</v>
      </c>
      <c r="H14" s="119">
        <v>1.7439814814814816E-3</v>
      </c>
      <c r="I14" s="119">
        <v>2.3825231481481479E-3</v>
      </c>
      <c r="J14" s="119">
        <v>1.8672453703703705E-3</v>
      </c>
      <c r="K14" s="119">
        <v>2.2417824074074072E-3</v>
      </c>
      <c r="L14" s="119">
        <v>1.7143518518518517E-3</v>
      </c>
      <c r="M14" s="119">
        <v>6.004282407407407E-3</v>
      </c>
      <c r="N14" s="119">
        <v>2.796527777777778E-3</v>
      </c>
      <c r="O14" s="119">
        <v>1.9009259259259259E-3</v>
      </c>
      <c r="P14" s="119">
        <v>2.4814814814814816E-3</v>
      </c>
      <c r="Q14" s="119">
        <v>1.8314814814814815E-3</v>
      </c>
      <c r="R14" s="119">
        <v>2.3381944444444444E-3</v>
      </c>
      <c r="S14" s="119">
        <v>3.4710648148148144E-3</v>
      </c>
      <c r="T14" s="119">
        <v>1.5399305555555555E-3</v>
      </c>
      <c r="U14" s="119">
        <v>2.3280092592592593E-3</v>
      </c>
      <c r="V14" s="119">
        <v>1.7782407407407408E-3</v>
      </c>
      <c r="W14" s="119">
        <v>1.8113425925925927E-3</v>
      </c>
      <c r="X14" s="119">
        <v>2.0076388888888891E-3</v>
      </c>
      <c r="Y14" s="120"/>
      <c r="Z14" s="43"/>
      <c r="AA14" s="43"/>
      <c r="AB14" s="43"/>
      <c r="AC14" s="43"/>
      <c r="AD14" s="125">
        <f>0+0+0+0+1</f>
        <v>1</v>
      </c>
      <c r="AE14" s="332"/>
      <c r="AF14" s="43"/>
      <c r="AG14" s="335"/>
      <c r="AH14" s="43"/>
      <c r="AI14" s="43"/>
      <c r="AJ14" s="43"/>
    </row>
    <row r="15" spans="1:36" ht="15" customHeight="1" outlineLevel="1" x14ac:dyDescent="0.25">
      <c r="A15" s="42"/>
      <c r="B15" s="42"/>
      <c r="C15" s="42"/>
      <c r="D15" s="42"/>
      <c r="E15" s="127">
        <v>561.62</v>
      </c>
      <c r="F15" s="127">
        <v>176.91</v>
      </c>
      <c r="G15" s="127">
        <v>168.77</v>
      </c>
      <c r="H15" s="127">
        <v>150.68</v>
      </c>
      <c r="I15" s="127">
        <v>205.85</v>
      </c>
      <c r="J15" s="127">
        <v>161.33000000000001</v>
      </c>
      <c r="K15" s="127">
        <v>193.69</v>
      </c>
      <c r="L15" s="127">
        <v>148.12</v>
      </c>
      <c r="M15" s="127">
        <v>518.77</v>
      </c>
      <c r="N15" s="127">
        <v>241.62</v>
      </c>
      <c r="O15" s="127">
        <v>164.24</v>
      </c>
      <c r="P15" s="127">
        <v>214.4</v>
      </c>
      <c r="Q15" s="127">
        <v>158.24</v>
      </c>
      <c r="R15" s="127">
        <v>202.02</v>
      </c>
      <c r="S15" s="127">
        <v>299.89999999999998</v>
      </c>
      <c r="T15" s="127">
        <v>133.05000000000001</v>
      </c>
      <c r="U15" s="127">
        <v>201.14</v>
      </c>
      <c r="V15" s="127">
        <v>153.63999999999999</v>
      </c>
      <c r="W15" s="127">
        <v>156.5</v>
      </c>
      <c r="X15" s="127">
        <v>173.46</v>
      </c>
      <c r="Y15" s="128"/>
      <c r="Z15" s="124"/>
      <c r="AA15" s="124"/>
      <c r="AB15" s="124"/>
      <c r="AC15" s="43"/>
      <c r="AD15" s="125"/>
      <c r="AE15" s="332"/>
      <c r="AF15" s="43"/>
      <c r="AG15" s="335"/>
      <c r="AH15" s="43"/>
      <c r="AI15" s="43"/>
      <c r="AJ15" s="43"/>
    </row>
    <row r="16" spans="1:36" ht="15" customHeight="1" outlineLevel="1" x14ac:dyDescent="0.25">
      <c r="A16" s="42"/>
      <c r="B16" s="42"/>
      <c r="C16" s="42"/>
      <c r="D16" s="42"/>
      <c r="E16" s="127">
        <f>+E15/60</f>
        <v>9.3603333333333332</v>
      </c>
      <c r="F16" s="127">
        <f>+F15/60</f>
        <v>2.9485000000000001</v>
      </c>
      <c r="G16" s="127">
        <f t="shared" ref="G16:X16" si="1">+G15/60</f>
        <v>2.8128333333333333</v>
      </c>
      <c r="H16" s="127">
        <f t="shared" si="1"/>
        <v>2.5113333333333334</v>
      </c>
      <c r="I16" s="127">
        <f t="shared" si="1"/>
        <v>3.4308333333333332</v>
      </c>
      <c r="J16" s="127">
        <f t="shared" si="1"/>
        <v>2.6888333333333336</v>
      </c>
      <c r="K16" s="127">
        <f t="shared" si="1"/>
        <v>3.2281666666666666</v>
      </c>
      <c r="L16" s="127">
        <f t="shared" si="1"/>
        <v>2.4686666666666666</v>
      </c>
      <c r="M16" s="127">
        <f t="shared" si="1"/>
        <v>8.6461666666666659</v>
      </c>
      <c r="N16" s="127">
        <f t="shared" si="1"/>
        <v>4.0270000000000001</v>
      </c>
      <c r="O16" s="127">
        <f t="shared" si="1"/>
        <v>2.7373333333333334</v>
      </c>
      <c r="P16" s="127">
        <f t="shared" si="1"/>
        <v>3.5733333333333333</v>
      </c>
      <c r="Q16" s="127">
        <f t="shared" si="1"/>
        <v>2.6373333333333333</v>
      </c>
      <c r="R16" s="127">
        <f t="shared" si="1"/>
        <v>3.367</v>
      </c>
      <c r="S16" s="127">
        <f t="shared" si="1"/>
        <v>4.9983333333333331</v>
      </c>
      <c r="T16" s="127">
        <f t="shared" si="1"/>
        <v>2.2175000000000002</v>
      </c>
      <c r="U16" s="127">
        <f t="shared" si="1"/>
        <v>3.3523333333333332</v>
      </c>
      <c r="V16" s="127">
        <f t="shared" si="1"/>
        <v>2.5606666666666666</v>
      </c>
      <c r="W16" s="127">
        <f t="shared" si="1"/>
        <v>2.6083333333333334</v>
      </c>
      <c r="X16" s="127">
        <f t="shared" si="1"/>
        <v>2.891</v>
      </c>
      <c r="Y16" s="124"/>
      <c r="Z16" s="124"/>
      <c r="AA16" s="124"/>
      <c r="AB16" s="124"/>
      <c r="AC16" s="43"/>
      <c r="AD16" s="125"/>
      <c r="AE16" s="332"/>
      <c r="AF16" s="43"/>
      <c r="AG16" s="335"/>
      <c r="AH16" s="43"/>
      <c r="AI16" s="43"/>
      <c r="AJ16" s="43"/>
    </row>
    <row r="17" spans="1:69" x14ac:dyDescent="0.25">
      <c r="A17" s="42">
        <v>3</v>
      </c>
      <c r="B17" s="42" t="s">
        <v>280</v>
      </c>
      <c r="C17" s="42" t="s">
        <v>278</v>
      </c>
      <c r="D17" s="42"/>
      <c r="E17" s="129">
        <v>0.37266203703703704</v>
      </c>
      <c r="F17" s="130">
        <v>0.37246527777777777</v>
      </c>
      <c r="G17" s="130">
        <v>0.36717592592592596</v>
      </c>
      <c r="H17" s="131">
        <v>0.35995370370370372</v>
      </c>
      <c r="I17" s="130">
        <v>0.35200231481481481</v>
      </c>
      <c r="J17" s="130">
        <v>0.35349537037037032</v>
      </c>
      <c r="K17" s="130">
        <v>0.34737268518518521</v>
      </c>
      <c r="L17" s="130">
        <v>0.34252314814814816</v>
      </c>
      <c r="M17" s="130">
        <v>0.33431712962962962</v>
      </c>
      <c r="N17" s="130">
        <v>0.33055555555555555</v>
      </c>
      <c r="O17" s="132">
        <v>0.32337962962962963</v>
      </c>
      <c r="P17" s="132">
        <v>0.31914351851851852</v>
      </c>
      <c r="Q17" s="132">
        <v>0.32370370370370372</v>
      </c>
      <c r="R17" s="132">
        <v>0.32339120370370372</v>
      </c>
      <c r="S17" s="132">
        <v>0.31608796296296299</v>
      </c>
      <c r="T17" s="132">
        <v>0.31534722222222222</v>
      </c>
      <c r="U17" s="132">
        <v>0.31143518518518515</v>
      </c>
      <c r="V17" s="132">
        <v>0.30511574074074072</v>
      </c>
      <c r="W17" s="132">
        <v>0.30215277777777777</v>
      </c>
      <c r="X17" s="133">
        <v>0.29880787037037038</v>
      </c>
      <c r="Y17" s="43"/>
      <c r="Z17" s="43"/>
      <c r="AA17" s="43"/>
      <c r="AB17" s="43"/>
      <c r="AC17" s="43"/>
      <c r="AD17" s="125">
        <v>1</v>
      </c>
      <c r="AE17" s="332"/>
      <c r="AF17" s="43"/>
      <c r="AG17" s="335"/>
      <c r="AH17" s="43"/>
      <c r="AI17" s="43"/>
      <c r="AJ17" s="43"/>
      <c r="AL17" s="83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</row>
    <row r="18" spans="1:69" x14ac:dyDescent="0.25">
      <c r="A18" s="42">
        <v>4</v>
      </c>
      <c r="B18" s="42" t="s">
        <v>341</v>
      </c>
      <c r="C18" s="42" t="s">
        <v>278</v>
      </c>
      <c r="D18" s="42"/>
      <c r="E18" s="119">
        <v>1.2797569444444443E-2</v>
      </c>
      <c r="F18" s="119">
        <v>1.0609606481481482E-2</v>
      </c>
      <c r="G18" s="119">
        <v>1.1371874999999998E-2</v>
      </c>
      <c r="H18" s="119">
        <v>1.2739351851851851E-2</v>
      </c>
      <c r="I18" s="119">
        <v>1.0997569444444443E-2</v>
      </c>
      <c r="J18" s="119">
        <v>1.4471180555555555E-2</v>
      </c>
      <c r="K18" s="119">
        <v>9.1048611111111104E-3</v>
      </c>
      <c r="L18" s="119">
        <v>1.0884722222222221E-2</v>
      </c>
      <c r="M18" s="119">
        <v>1.2309374999999999E-2</v>
      </c>
      <c r="N18" s="119">
        <v>1.2208796296296296E-2</v>
      </c>
      <c r="O18" s="119">
        <v>1.2143171296296296E-2</v>
      </c>
      <c r="P18" s="119">
        <v>1.0652777777777777E-2</v>
      </c>
      <c r="Q18" s="119">
        <v>7.7065972222222223E-3</v>
      </c>
      <c r="R18" s="134">
        <v>0.81805555555555554</v>
      </c>
      <c r="S18" s="119">
        <v>1.1708680555555557E-2</v>
      </c>
      <c r="T18" s="119">
        <v>7.6523148148148158E-3</v>
      </c>
      <c r="U18" s="119">
        <v>1.2964814814814816E-2</v>
      </c>
      <c r="V18" s="119">
        <v>1.1302893518518519E-2</v>
      </c>
      <c r="W18" s="119">
        <v>1.1753587962962962E-2</v>
      </c>
      <c r="X18" s="119">
        <v>1.1145601851851851E-2</v>
      </c>
      <c r="Y18" s="43"/>
      <c r="Z18" s="43"/>
      <c r="AA18" s="43"/>
      <c r="AB18" s="43"/>
      <c r="AC18" s="43"/>
      <c r="AD18" s="125">
        <f>0+0+0+0+1</f>
        <v>1</v>
      </c>
      <c r="AE18" s="332"/>
      <c r="AF18" s="43"/>
      <c r="AG18" s="335"/>
      <c r="AH18" s="43"/>
      <c r="AI18" s="43"/>
      <c r="AJ18" s="43"/>
      <c r="AL18" s="83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</row>
    <row r="19" spans="1:69" x14ac:dyDescent="0.25">
      <c r="A19" s="42"/>
      <c r="B19" s="42"/>
      <c r="C19" s="42"/>
      <c r="D19" s="42"/>
      <c r="E19" s="127">
        <v>1105.71</v>
      </c>
      <c r="F19" s="127">
        <v>916.67</v>
      </c>
      <c r="G19" s="127">
        <v>982.53</v>
      </c>
      <c r="H19" s="127">
        <v>1100.68</v>
      </c>
      <c r="I19" s="127">
        <v>950.19</v>
      </c>
      <c r="J19" s="127">
        <v>1250.31</v>
      </c>
      <c r="K19" s="127">
        <v>786.66</v>
      </c>
      <c r="L19" s="127">
        <v>940.44</v>
      </c>
      <c r="M19" s="127">
        <v>1063.53</v>
      </c>
      <c r="N19" s="127">
        <v>1054.8399999999999</v>
      </c>
      <c r="O19" s="127">
        <v>1049.17</v>
      </c>
      <c r="P19" s="127">
        <v>200.04</v>
      </c>
      <c r="Q19" s="127">
        <v>665.85</v>
      </c>
      <c r="R19" s="127">
        <v>1178</v>
      </c>
      <c r="S19" s="127">
        <v>1011.63</v>
      </c>
      <c r="T19" s="127">
        <v>661.16</v>
      </c>
      <c r="U19" s="127">
        <v>1120.1600000000001</v>
      </c>
      <c r="V19" s="127">
        <v>976.57</v>
      </c>
      <c r="W19" s="127">
        <v>1015.51</v>
      </c>
      <c r="X19" s="127">
        <v>962.98</v>
      </c>
      <c r="Y19" s="135"/>
      <c r="Z19" s="43"/>
      <c r="AA19" s="43"/>
      <c r="AB19" s="43"/>
      <c r="AC19" s="43"/>
      <c r="AD19" s="125"/>
      <c r="AE19" s="332"/>
      <c r="AF19" s="43"/>
      <c r="AG19" s="335"/>
      <c r="AH19" s="43"/>
      <c r="AI19" s="43"/>
      <c r="AJ19" s="43"/>
      <c r="AL19" s="83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84"/>
    </row>
    <row r="20" spans="1:69" x14ac:dyDescent="0.25">
      <c r="A20" s="42">
        <v>5</v>
      </c>
      <c r="B20" s="42" t="s">
        <v>342</v>
      </c>
      <c r="C20" s="42"/>
      <c r="D20" s="42" t="s">
        <v>278</v>
      </c>
      <c r="E20" s="119">
        <v>8.4142361111111102E-3</v>
      </c>
      <c r="F20" s="119">
        <v>8.6406250000000007E-3</v>
      </c>
      <c r="G20" s="119">
        <v>8.4855324074074069E-3</v>
      </c>
      <c r="H20" s="119">
        <v>8.282291666666667E-3</v>
      </c>
      <c r="I20" s="119">
        <v>9.5130787037037024E-3</v>
      </c>
      <c r="J20" s="119">
        <v>1.0333564814814815E-2</v>
      </c>
      <c r="K20" s="119">
        <v>9.7372685185185184E-3</v>
      </c>
      <c r="L20" s="119">
        <v>8.1840277777777779E-3</v>
      </c>
      <c r="M20" s="119">
        <v>8.4574074074074083E-3</v>
      </c>
      <c r="N20" s="119">
        <v>9.0372685185185191E-3</v>
      </c>
      <c r="O20" s="119">
        <v>9.688425925925925E-3</v>
      </c>
      <c r="P20" s="119">
        <v>9.8006944444444435E-3</v>
      </c>
      <c r="Q20" s="119">
        <v>8.5305555555555568E-3</v>
      </c>
      <c r="R20" s="119">
        <v>9.5697916666666657E-3</v>
      </c>
      <c r="S20" s="119">
        <v>9.6474537037037032E-3</v>
      </c>
      <c r="T20" s="119">
        <v>8.2674768518518505E-3</v>
      </c>
      <c r="U20" s="119">
        <v>9.4607638888888883E-3</v>
      </c>
      <c r="V20" s="119">
        <v>9.8788194444444453E-3</v>
      </c>
      <c r="W20" s="119">
        <v>1.0046412037037038E-2</v>
      </c>
      <c r="X20" s="119">
        <v>8.2302083333333342E-3</v>
      </c>
      <c r="Y20" s="43"/>
      <c r="Z20" s="43"/>
      <c r="AA20" s="43"/>
      <c r="AB20" s="43"/>
      <c r="AC20" s="43"/>
      <c r="AD20" s="125">
        <f>0+0-0.03+0+1</f>
        <v>0.97</v>
      </c>
      <c r="AE20" s="332"/>
      <c r="AF20" s="43"/>
      <c r="AG20" s="335"/>
      <c r="AH20" s="43"/>
      <c r="AI20" s="43"/>
      <c r="AJ20" s="43"/>
    </row>
    <row r="21" spans="1:69" x14ac:dyDescent="0.25">
      <c r="A21" s="42"/>
      <c r="B21" s="42"/>
      <c r="C21" s="42"/>
      <c r="D21" s="42"/>
      <c r="E21" s="127">
        <v>726.99</v>
      </c>
      <c r="F21" s="127">
        <v>746.55</v>
      </c>
      <c r="G21" s="127">
        <v>733.15</v>
      </c>
      <c r="H21" s="127">
        <v>715.59</v>
      </c>
      <c r="I21" s="127">
        <v>821.93</v>
      </c>
      <c r="J21" s="127">
        <v>892.82</v>
      </c>
      <c r="K21" s="127">
        <v>841.3</v>
      </c>
      <c r="L21" s="127">
        <v>707.1</v>
      </c>
      <c r="M21" s="127">
        <v>730.72</v>
      </c>
      <c r="N21" s="127">
        <v>780.82</v>
      </c>
      <c r="O21" s="127">
        <v>837.08</v>
      </c>
      <c r="P21" s="127">
        <v>846.78</v>
      </c>
      <c r="Q21" s="127">
        <v>737.04</v>
      </c>
      <c r="R21" s="127">
        <v>826.83</v>
      </c>
      <c r="S21" s="127">
        <v>833.54</v>
      </c>
      <c r="T21" s="127">
        <v>714.31</v>
      </c>
      <c r="U21" s="127">
        <v>817.41</v>
      </c>
      <c r="V21" s="127">
        <v>853.53</v>
      </c>
      <c r="W21" s="127">
        <v>868.01</v>
      </c>
      <c r="X21" s="127">
        <v>711.09</v>
      </c>
      <c r="Y21" s="135"/>
      <c r="Z21" s="43"/>
      <c r="AA21" s="43"/>
      <c r="AB21" s="43"/>
      <c r="AC21" s="43"/>
      <c r="AD21" s="125"/>
      <c r="AE21" s="332"/>
      <c r="AF21" s="43"/>
      <c r="AG21" s="335"/>
      <c r="AH21" s="43"/>
      <c r="AI21" s="43"/>
      <c r="AJ21" s="43"/>
      <c r="AL21" s="83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84"/>
    </row>
    <row r="22" spans="1:69" x14ac:dyDescent="0.25">
      <c r="A22" s="42">
        <v>6</v>
      </c>
      <c r="B22" s="44" t="s">
        <v>343</v>
      </c>
      <c r="C22" s="42" t="s">
        <v>278</v>
      </c>
      <c r="D22" s="42"/>
      <c r="E22" s="119">
        <v>3.6743055555555557E-3</v>
      </c>
      <c r="F22" s="119">
        <v>3.4472222222222226E-3</v>
      </c>
      <c r="G22" s="119">
        <v>2.7041666666666668E-3</v>
      </c>
      <c r="H22" s="119">
        <v>5.498958333333334E-3</v>
      </c>
      <c r="I22" s="119">
        <v>3.7810185185185186E-3</v>
      </c>
      <c r="J22" s="119">
        <v>3.456597222222222E-3</v>
      </c>
      <c r="K22" s="119">
        <v>4.5796296296296297E-3</v>
      </c>
      <c r="L22" s="119">
        <v>3.5392361111111111E-3</v>
      </c>
      <c r="M22" s="119">
        <v>6.6659722222222224E-3</v>
      </c>
      <c r="N22" s="119">
        <v>3.0611111111111112E-3</v>
      </c>
      <c r="O22" s="119">
        <v>4.0327546296296292E-3</v>
      </c>
      <c r="P22" s="119">
        <v>4.2692129629629634E-3</v>
      </c>
      <c r="Q22" s="119">
        <v>3.2240740740740741E-3</v>
      </c>
      <c r="R22" s="119">
        <v>4.4363425925925933E-3</v>
      </c>
      <c r="S22" s="119">
        <v>3.6479166666666669E-3</v>
      </c>
      <c r="T22" s="119">
        <v>3.3339120370370367E-3</v>
      </c>
      <c r="U22" s="119">
        <v>3.2890046296296296E-3</v>
      </c>
      <c r="V22" s="119">
        <v>3.7120370370370376E-3</v>
      </c>
      <c r="W22" s="119">
        <v>3.8840277777777779E-3</v>
      </c>
      <c r="X22" s="119">
        <v>2.5671296296296297E-3</v>
      </c>
      <c r="Y22" s="43"/>
      <c r="Z22" s="43"/>
      <c r="AA22" s="43"/>
      <c r="AB22" s="43"/>
      <c r="AC22" s="43"/>
      <c r="AD22" s="125">
        <f>0+0+0-0.02+1</f>
        <v>0.98</v>
      </c>
      <c r="AE22" s="332"/>
      <c r="AF22" s="43"/>
      <c r="AG22" s="335"/>
      <c r="AH22" s="43"/>
      <c r="AI22" s="43"/>
      <c r="AJ22" s="43"/>
    </row>
    <row r="23" spans="1:69" x14ac:dyDescent="0.25">
      <c r="A23" s="42"/>
      <c r="B23" s="43"/>
      <c r="C23" s="43"/>
      <c r="D23" s="43"/>
      <c r="E23" s="127">
        <v>317.45999999999998</v>
      </c>
      <c r="F23" s="127">
        <v>297.83999999999997</v>
      </c>
      <c r="G23" s="127">
        <v>233.64</v>
      </c>
      <c r="H23" s="127">
        <v>475.11</v>
      </c>
      <c r="I23" s="127">
        <v>326.68</v>
      </c>
      <c r="J23" s="127">
        <v>298.64999999999998</v>
      </c>
      <c r="K23" s="127">
        <v>395.68</v>
      </c>
      <c r="L23" s="127">
        <v>305.79000000000002</v>
      </c>
      <c r="M23" s="127">
        <v>575.94000000000005</v>
      </c>
      <c r="N23" s="127">
        <v>264.48</v>
      </c>
      <c r="O23" s="127">
        <v>348.43</v>
      </c>
      <c r="P23" s="127">
        <v>368.86</v>
      </c>
      <c r="Q23" s="127">
        <v>278.56</v>
      </c>
      <c r="R23" s="127">
        <v>383.3</v>
      </c>
      <c r="S23" s="127">
        <v>315.18</v>
      </c>
      <c r="T23" s="127">
        <v>288.05</v>
      </c>
      <c r="U23" s="127">
        <v>284.17</v>
      </c>
      <c r="V23" s="127">
        <v>320.72000000000003</v>
      </c>
      <c r="W23" s="127">
        <v>335.58</v>
      </c>
      <c r="X23" s="127">
        <v>221.8</v>
      </c>
      <c r="Y23" s="135"/>
      <c r="Z23" s="43"/>
      <c r="AA23" s="43"/>
      <c r="AB23" s="43"/>
      <c r="AC23" s="43"/>
      <c r="AD23" s="136"/>
      <c r="AE23" s="333"/>
      <c r="AF23" s="43"/>
      <c r="AG23" s="336"/>
      <c r="AH23" s="43"/>
      <c r="AI23" s="43"/>
      <c r="AJ23" s="43"/>
    </row>
    <row r="24" spans="1:69" x14ac:dyDescent="0.25">
      <c r="AE24" s="43"/>
      <c r="AF24" s="43"/>
      <c r="AG24" s="43"/>
    </row>
    <row r="25" spans="1:69" outlineLevel="2" x14ac:dyDescent="0.25">
      <c r="E25" s="95">
        <v>0.40903958333333335</v>
      </c>
      <c r="F25" s="99">
        <f t="shared" ref="F25:X25" si="2">+F11-E14</f>
        <v>6.627083333333332E-3</v>
      </c>
      <c r="G25" s="99">
        <f t="shared" si="2"/>
        <v>1.0626388888888888E-2</v>
      </c>
      <c r="H25" s="99">
        <f t="shared" si="2"/>
        <v>1.2184837962962965E-2</v>
      </c>
      <c r="I25" s="99">
        <f t="shared" si="2"/>
        <v>1.1590624999999998E-2</v>
      </c>
      <c r="J25" s="99">
        <f t="shared" si="2"/>
        <v>1.0846180555555555E-2</v>
      </c>
      <c r="K25" s="99">
        <f t="shared" si="2"/>
        <v>1.1318287037037038E-2</v>
      </c>
      <c r="L25" s="99">
        <f t="shared" si="2"/>
        <v>1.1233796296296296E-2</v>
      </c>
      <c r="M25" s="99">
        <f t="shared" si="2"/>
        <v>1.1423148148148146E-2</v>
      </c>
      <c r="N25" s="99">
        <f t="shared" si="2"/>
        <v>9.9168981481481504E-3</v>
      </c>
      <c r="O25" s="99">
        <f t="shared" si="2"/>
        <v>1.0256597222222223E-2</v>
      </c>
      <c r="P25" s="99">
        <f t="shared" si="2"/>
        <v>1.1160300925925924E-2</v>
      </c>
      <c r="Q25" s="99">
        <f t="shared" si="2"/>
        <v>1.0230902777777776E-2</v>
      </c>
      <c r="R25" s="99">
        <f t="shared" si="2"/>
        <v>1.082835648148148E-2</v>
      </c>
      <c r="S25" s="99">
        <f t="shared" si="2"/>
        <v>1.0577430555555555E-2</v>
      </c>
      <c r="T25" s="99">
        <f t="shared" si="2"/>
        <v>9.2250000000000006E-3</v>
      </c>
      <c r="U25" s="99">
        <f t="shared" si="2"/>
        <v>1.1095370370370368E-2</v>
      </c>
      <c r="V25" s="99">
        <f t="shared" si="2"/>
        <v>1.0341203703703705E-2</v>
      </c>
      <c r="W25" s="99">
        <f t="shared" si="2"/>
        <v>1.1028472222222221E-2</v>
      </c>
      <c r="X25" s="99">
        <f t="shared" si="2"/>
        <v>1.104363425925926E-2</v>
      </c>
    </row>
    <row r="26" spans="1:69" outlineLevel="2" x14ac:dyDescent="0.25">
      <c r="E26" s="99">
        <f>+E11+E14</f>
        <v>1.9893518518518519E-2</v>
      </c>
      <c r="F26" s="95">
        <f>+E27+F25</f>
        <v>0.43556018518518519</v>
      </c>
      <c r="G26" s="95">
        <f>+F27+G25</f>
        <v>0.44823414351851854</v>
      </c>
      <c r="H26" s="95">
        <f t="shared" ref="H26:W26" si="3">+G27+H25</f>
        <v>0.46237233796296301</v>
      </c>
      <c r="I26" s="95">
        <f t="shared" si="3"/>
        <v>0.4757069444444445</v>
      </c>
      <c r="J26" s="95">
        <f t="shared" si="3"/>
        <v>0.48893564814814816</v>
      </c>
      <c r="K26" s="95">
        <f t="shared" si="3"/>
        <v>0.50212118055555555</v>
      </c>
      <c r="L26" s="95">
        <f t="shared" si="3"/>
        <v>0.51559675925925919</v>
      </c>
      <c r="M26" s="95">
        <f t="shared" si="3"/>
        <v>0.52873425925925921</v>
      </c>
      <c r="N26" s="95">
        <f t="shared" si="3"/>
        <v>0.54465543981481468</v>
      </c>
      <c r="O26" s="95">
        <f t="shared" si="3"/>
        <v>0.55770856481481468</v>
      </c>
      <c r="P26" s="95">
        <f t="shared" si="3"/>
        <v>0.57076979166666653</v>
      </c>
      <c r="Q26" s="95">
        <f t="shared" si="3"/>
        <v>0.58348217592592588</v>
      </c>
      <c r="R26" s="95">
        <f t="shared" si="3"/>
        <v>0.59614201388888888</v>
      </c>
      <c r="S26" s="95">
        <f t="shared" si="3"/>
        <v>0.60905763888888897</v>
      </c>
      <c r="T26" s="95">
        <f t="shared" si="3"/>
        <v>0.62175370370370386</v>
      </c>
      <c r="U26" s="95">
        <f t="shared" si="3"/>
        <v>0.63438900462962977</v>
      </c>
      <c r="V26" s="95">
        <f t="shared" si="3"/>
        <v>0.64705821759259274</v>
      </c>
      <c r="W26" s="95">
        <f t="shared" si="3"/>
        <v>0.65986493055555573</v>
      </c>
      <c r="X26" s="95">
        <f>+W27+X25</f>
        <v>0.67271990740740761</v>
      </c>
    </row>
    <row r="27" spans="1:69" outlineLevel="2" x14ac:dyDescent="0.25">
      <c r="B27" t="s">
        <v>344</v>
      </c>
      <c r="E27" s="95">
        <f>SUM(E25:E26)</f>
        <v>0.42893310185185185</v>
      </c>
      <c r="F27" s="95">
        <f t="shared" ref="F27:X27" si="4">F26+F14</f>
        <v>0.43760775462962964</v>
      </c>
      <c r="G27" s="95">
        <f t="shared" si="4"/>
        <v>0.45018750000000002</v>
      </c>
      <c r="H27" s="95">
        <f t="shared" si="4"/>
        <v>0.46411631944444448</v>
      </c>
      <c r="I27" s="95">
        <f t="shared" si="4"/>
        <v>0.47808946759259263</v>
      </c>
      <c r="J27" s="95">
        <f t="shared" si="4"/>
        <v>0.49080289351851852</v>
      </c>
      <c r="K27" s="95">
        <f t="shared" si="4"/>
        <v>0.5043629629629629</v>
      </c>
      <c r="L27" s="95">
        <f t="shared" si="4"/>
        <v>0.51731111111111105</v>
      </c>
      <c r="M27" s="95">
        <f t="shared" si="4"/>
        <v>0.53473854166666657</v>
      </c>
      <c r="N27" s="95">
        <f t="shared" si="4"/>
        <v>0.5474519675925924</v>
      </c>
      <c r="O27" s="95">
        <f t="shared" si="4"/>
        <v>0.55960949074074062</v>
      </c>
      <c r="P27" s="95">
        <f t="shared" si="4"/>
        <v>0.57325127314814806</v>
      </c>
      <c r="Q27" s="95">
        <f t="shared" si="4"/>
        <v>0.58531365740740737</v>
      </c>
      <c r="R27" s="95">
        <f t="shared" si="4"/>
        <v>0.59848020833333337</v>
      </c>
      <c r="S27" s="95">
        <f t="shared" si="4"/>
        <v>0.61252870370370383</v>
      </c>
      <c r="T27" s="95">
        <f t="shared" si="4"/>
        <v>0.62329363425925943</v>
      </c>
      <c r="U27" s="95">
        <f t="shared" si="4"/>
        <v>0.63671701388888902</v>
      </c>
      <c r="V27" s="95">
        <f t="shared" si="4"/>
        <v>0.64883645833333348</v>
      </c>
      <c r="W27" s="95">
        <f t="shared" si="4"/>
        <v>0.66167627314814836</v>
      </c>
      <c r="X27" s="95">
        <f t="shared" si="4"/>
        <v>0.6747275462962965</v>
      </c>
    </row>
    <row r="28" spans="1:69" x14ac:dyDescent="0.25">
      <c r="AA28" s="95">
        <v>0.42893101851851856</v>
      </c>
      <c r="AB28">
        <v>1</v>
      </c>
      <c r="AC28" s="95">
        <v>0.42659722222222224</v>
      </c>
    </row>
    <row r="29" spans="1:69" x14ac:dyDescent="0.25">
      <c r="AA29" s="95">
        <v>0.43760567129629635</v>
      </c>
      <c r="AB29">
        <v>2</v>
      </c>
      <c r="AC29" s="97">
        <v>0.43506944444444445</v>
      </c>
      <c r="AD29" s="97"/>
      <c r="AF29" s="89">
        <v>1</v>
      </c>
      <c r="AH29" s="95">
        <v>0.40902777777777777</v>
      </c>
    </row>
    <row r="30" spans="1:69" x14ac:dyDescent="0.25">
      <c r="AA30" s="95">
        <v>0.45018541666666673</v>
      </c>
      <c r="AB30">
        <v>3</v>
      </c>
      <c r="AC30" s="95">
        <v>0.44236111111111115</v>
      </c>
      <c r="AD30" s="97">
        <f>+AC30-AC29</f>
        <v>7.2916666666666963E-3</v>
      </c>
      <c r="AE30" s="97">
        <f>+AVERAGE(AD30:AD37)</f>
        <v>8.4924768518518587E-3</v>
      </c>
      <c r="AF30" s="89">
        <v>0.70833333333333337</v>
      </c>
      <c r="AH30" s="95">
        <v>1.3194444444444444E-2</v>
      </c>
    </row>
    <row r="31" spans="1:69" x14ac:dyDescent="0.25">
      <c r="E31" s="137">
        <v>1157.18</v>
      </c>
      <c r="F31" s="137">
        <v>1134.2</v>
      </c>
      <c r="G31" s="137">
        <v>1095.03</v>
      </c>
      <c r="H31" s="137">
        <v>1221.51</v>
      </c>
      <c r="I31" s="137">
        <v>1152.1099999999999</v>
      </c>
      <c r="J31" s="137">
        <v>1142.96</v>
      </c>
      <c r="K31" s="137">
        <v>1139.28</v>
      </c>
      <c r="L31" s="137">
        <v>1164.29</v>
      </c>
      <c r="M31" s="137">
        <v>1135.08</v>
      </c>
      <c r="N31" s="137">
        <v>1375.59</v>
      </c>
      <c r="O31" s="137">
        <v>1127.79</v>
      </c>
      <c r="P31" s="137">
        <v>1128.49</v>
      </c>
      <c r="Q31" s="137">
        <v>1098.3499999999999</v>
      </c>
      <c r="R31" s="137">
        <v>1093.81</v>
      </c>
      <c r="S31" s="137">
        <v>1115.9100000000001</v>
      </c>
      <c r="T31" s="137">
        <v>1096.94</v>
      </c>
      <c r="U31" s="137">
        <v>1091.69</v>
      </c>
      <c r="V31" s="137">
        <v>1094.6199999999999</v>
      </c>
      <c r="W31" s="137">
        <v>1106.5</v>
      </c>
      <c r="X31" s="137">
        <v>1110.67</v>
      </c>
      <c r="AA31" s="95">
        <v>0.46411631944444443</v>
      </c>
      <c r="AB31">
        <v>4</v>
      </c>
      <c r="AC31" s="97">
        <v>0.44907407407407413</v>
      </c>
      <c r="AD31" s="97">
        <f t="shared" ref="AD31:AD46" si="5">+AC31-AC30</f>
        <v>6.7129629629629761E-3</v>
      </c>
      <c r="AF31" s="138">
        <v>0.33333333333333331</v>
      </c>
    </row>
    <row r="32" spans="1:69" x14ac:dyDescent="0.25">
      <c r="E32" s="127">
        <v>561.62</v>
      </c>
      <c r="F32" s="127">
        <v>176.91</v>
      </c>
      <c r="G32" s="127">
        <v>168.77</v>
      </c>
      <c r="H32" s="127">
        <v>150.68</v>
      </c>
      <c r="I32" s="127">
        <v>205.85</v>
      </c>
      <c r="J32" s="127">
        <v>161.33000000000001</v>
      </c>
      <c r="K32" s="127">
        <v>193.69</v>
      </c>
      <c r="L32" s="127">
        <v>148.12</v>
      </c>
      <c r="M32" s="127">
        <v>518.77</v>
      </c>
      <c r="N32" s="127">
        <v>241.62</v>
      </c>
      <c r="O32" s="127">
        <v>164.24</v>
      </c>
      <c r="P32" s="127">
        <v>214.4</v>
      </c>
      <c r="Q32" s="127">
        <v>158.24</v>
      </c>
      <c r="R32" s="127">
        <v>202.02</v>
      </c>
      <c r="S32" s="127">
        <v>299.89999999999998</v>
      </c>
      <c r="T32" s="127">
        <v>133.05000000000001</v>
      </c>
      <c r="U32" s="127">
        <v>201.14</v>
      </c>
      <c r="V32" s="127">
        <v>153.63999999999999</v>
      </c>
      <c r="W32" s="127">
        <v>156.5</v>
      </c>
      <c r="X32" s="127">
        <v>173.46</v>
      </c>
      <c r="AA32" s="95">
        <v>0.47808738425925934</v>
      </c>
      <c r="AB32">
        <v>5</v>
      </c>
      <c r="AC32" s="97">
        <v>0.4550925925925926</v>
      </c>
      <c r="AD32" s="97">
        <f t="shared" si="5"/>
        <v>6.0185185185184786E-3</v>
      </c>
      <c r="AF32" s="89"/>
    </row>
    <row r="33" spans="5:32" x14ac:dyDescent="0.25">
      <c r="E33" s="127">
        <v>32198.16</v>
      </c>
      <c r="F33" s="127">
        <v>32180.69</v>
      </c>
      <c r="G33" s="127">
        <v>31723.8</v>
      </c>
      <c r="H33" s="127">
        <v>31100.35</v>
      </c>
      <c r="I33" s="127">
        <v>30413.07</v>
      </c>
      <c r="J33" s="139">
        <v>30541.63</v>
      </c>
      <c r="K33" s="127">
        <v>30013.040000000001</v>
      </c>
      <c r="L33" s="127">
        <v>29594.32</v>
      </c>
      <c r="M33" s="140">
        <v>28884.59</v>
      </c>
      <c r="N33" s="127">
        <v>28560.15</v>
      </c>
      <c r="O33" s="127">
        <v>27939.74</v>
      </c>
      <c r="P33" s="127">
        <v>27574.09</v>
      </c>
      <c r="Q33" s="127">
        <v>27967.9</v>
      </c>
      <c r="R33" s="127">
        <v>27941.31</v>
      </c>
      <c r="S33" s="127">
        <v>27309.52</v>
      </c>
      <c r="T33" s="127">
        <v>27246.43</v>
      </c>
      <c r="U33" s="127">
        <v>26907.67</v>
      </c>
      <c r="V33" s="127">
        <v>26361.53</v>
      </c>
      <c r="W33" s="127">
        <v>26106.17</v>
      </c>
      <c r="X33" s="127">
        <v>25816.54</v>
      </c>
      <c r="AA33" s="95">
        <v>0.49080081018518523</v>
      </c>
      <c r="AB33">
        <v>6</v>
      </c>
      <c r="AC33" s="97">
        <v>0.46929398148148144</v>
      </c>
      <c r="AD33" s="97">
        <f t="shared" si="5"/>
        <v>1.4201388888888833E-2</v>
      </c>
      <c r="AF33" s="89"/>
    </row>
    <row r="34" spans="5:32" x14ac:dyDescent="0.25">
      <c r="E34" s="127">
        <v>1105.71</v>
      </c>
      <c r="F34" s="127">
        <v>916.67</v>
      </c>
      <c r="G34" s="127">
        <v>982.53</v>
      </c>
      <c r="H34" s="127">
        <v>1100.68</v>
      </c>
      <c r="I34" s="127">
        <v>950.19</v>
      </c>
      <c r="J34" s="127">
        <v>1250.31</v>
      </c>
      <c r="K34" s="127">
        <v>786.66</v>
      </c>
      <c r="L34" s="127">
        <v>940.44</v>
      </c>
      <c r="M34" s="127">
        <v>1063.53</v>
      </c>
      <c r="N34" s="127">
        <v>1054.8399999999999</v>
      </c>
      <c r="O34" s="127">
        <v>1049.17</v>
      </c>
      <c r="P34" s="127">
        <v>200.04</v>
      </c>
      <c r="Q34" s="127">
        <v>665.85</v>
      </c>
      <c r="R34" s="127">
        <v>1178</v>
      </c>
      <c r="S34" s="127">
        <v>1011.63</v>
      </c>
      <c r="T34" s="127">
        <v>661.16</v>
      </c>
      <c r="U34" s="127">
        <v>1120.1600000000001</v>
      </c>
      <c r="V34" s="127">
        <v>976.57</v>
      </c>
      <c r="W34" s="127">
        <v>1015.51</v>
      </c>
      <c r="X34" s="127">
        <v>962.98</v>
      </c>
      <c r="AA34" s="95">
        <v>0.50436087962962961</v>
      </c>
      <c r="AB34">
        <v>7</v>
      </c>
      <c r="AC34" s="97">
        <v>0.47673611111111108</v>
      </c>
      <c r="AD34" s="97">
        <f t="shared" si="5"/>
        <v>7.4421296296296457E-3</v>
      </c>
      <c r="AF34" s="97"/>
    </row>
    <row r="35" spans="5:32" x14ac:dyDescent="0.25">
      <c r="E35" s="127">
        <v>726.99</v>
      </c>
      <c r="F35" s="127">
        <v>746.55</v>
      </c>
      <c r="G35" s="127">
        <v>733.15</v>
      </c>
      <c r="H35" s="127">
        <v>715.59</v>
      </c>
      <c r="I35" s="127">
        <v>821.93</v>
      </c>
      <c r="J35" s="127">
        <v>892.82</v>
      </c>
      <c r="K35" s="127">
        <v>841.3</v>
      </c>
      <c r="L35" s="127">
        <v>707.1</v>
      </c>
      <c r="M35" s="127">
        <v>730.72</v>
      </c>
      <c r="N35" s="127">
        <v>780.82</v>
      </c>
      <c r="O35" s="127">
        <v>837.08</v>
      </c>
      <c r="P35" s="127">
        <v>846.78</v>
      </c>
      <c r="Q35" s="127">
        <v>737.04</v>
      </c>
      <c r="R35" s="127">
        <v>826.83</v>
      </c>
      <c r="S35" s="127">
        <v>833.54</v>
      </c>
      <c r="T35" s="127">
        <v>714.31</v>
      </c>
      <c r="U35" s="127">
        <v>817.41</v>
      </c>
      <c r="V35" s="127">
        <v>853.53</v>
      </c>
      <c r="W35" s="127">
        <v>868.01</v>
      </c>
      <c r="X35" s="127">
        <v>711.09</v>
      </c>
      <c r="AA35" s="95">
        <v>0.51731481481481478</v>
      </c>
      <c r="AB35">
        <v>8</v>
      </c>
      <c r="AC35" s="97">
        <v>0.48483796296296294</v>
      </c>
      <c r="AD35" s="97">
        <f t="shared" si="5"/>
        <v>8.1018518518518601E-3</v>
      </c>
    </row>
    <row r="36" spans="5:32" x14ac:dyDescent="0.25">
      <c r="E36" s="127">
        <v>317.45999999999998</v>
      </c>
      <c r="F36" s="127">
        <v>297.83999999999997</v>
      </c>
      <c r="G36" s="127">
        <v>233.64</v>
      </c>
      <c r="H36" s="127">
        <v>475.11</v>
      </c>
      <c r="I36" s="127">
        <v>326.68</v>
      </c>
      <c r="J36" s="127">
        <v>298.64999999999998</v>
      </c>
      <c r="K36" s="127">
        <v>395.68</v>
      </c>
      <c r="L36" s="127">
        <v>305.79000000000002</v>
      </c>
      <c r="M36" s="127">
        <v>575.94000000000005</v>
      </c>
      <c r="N36" s="127">
        <v>264.48</v>
      </c>
      <c r="O36" s="127">
        <v>348.43</v>
      </c>
      <c r="P36" s="127">
        <v>368.86</v>
      </c>
      <c r="Q36" s="127">
        <v>278.56</v>
      </c>
      <c r="R36" s="127">
        <v>383.3</v>
      </c>
      <c r="S36" s="127">
        <v>315.18</v>
      </c>
      <c r="T36" s="127">
        <v>288.05</v>
      </c>
      <c r="U36" s="127">
        <v>284.17</v>
      </c>
      <c r="V36" s="127">
        <v>320.72000000000003</v>
      </c>
      <c r="W36" s="127">
        <v>335.58</v>
      </c>
      <c r="X36" s="127">
        <v>221.8</v>
      </c>
      <c r="AA36" s="95">
        <v>0.53473645833333328</v>
      </c>
      <c r="AB36">
        <v>9</v>
      </c>
      <c r="AC36" s="97">
        <v>0.49405092592592598</v>
      </c>
      <c r="AD36" s="97">
        <f t="shared" si="5"/>
        <v>9.2129629629630339E-3</v>
      </c>
    </row>
    <row r="37" spans="5:32" x14ac:dyDescent="0.25">
      <c r="E37" s="46">
        <f t="shared" ref="E37:X37" si="6">SUM(E31:E36)</f>
        <v>36067.119999999995</v>
      </c>
      <c r="F37" s="46">
        <f t="shared" si="6"/>
        <v>35452.859999999993</v>
      </c>
      <c r="G37" s="46">
        <f t="shared" si="6"/>
        <v>34936.92</v>
      </c>
      <c r="H37" s="46">
        <f t="shared" si="6"/>
        <v>34763.919999999991</v>
      </c>
      <c r="I37" s="46">
        <f t="shared" si="6"/>
        <v>33869.829999999994</v>
      </c>
      <c r="J37" s="46">
        <f t="shared" si="6"/>
        <v>34287.700000000004</v>
      </c>
      <c r="K37" s="46">
        <f t="shared" si="6"/>
        <v>33369.65</v>
      </c>
      <c r="L37" s="46">
        <f t="shared" si="6"/>
        <v>32860.06</v>
      </c>
      <c r="M37" s="46">
        <f t="shared" si="6"/>
        <v>32908.629999999997</v>
      </c>
      <c r="N37" s="46">
        <f t="shared" si="6"/>
        <v>32277.5</v>
      </c>
      <c r="O37" s="46">
        <f t="shared" si="6"/>
        <v>31466.450000000004</v>
      </c>
      <c r="P37" s="46">
        <f t="shared" si="6"/>
        <v>30332.66</v>
      </c>
      <c r="Q37" s="46">
        <f t="shared" si="6"/>
        <v>30905.940000000002</v>
      </c>
      <c r="R37" s="46">
        <f t="shared" si="6"/>
        <v>31625.27</v>
      </c>
      <c r="S37" s="46">
        <f t="shared" si="6"/>
        <v>30885.680000000004</v>
      </c>
      <c r="T37" s="46">
        <f t="shared" si="6"/>
        <v>30139.940000000002</v>
      </c>
      <c r="U37" s="46">
        <f t="shared" si="6"/>
        <v>30422.239999999998</v>
      </c>
      <c r="V37" s="46">
        <f t="shared" si="6"/>
        <v>29760.609999999997</v>
      </c>
      <c r="W37" s="46">
        <f t="shared" si="6"/>
        <v>29588.269999999997</v>
      </c>
      <c r="X37" s="46">
        <f t="shared" si="6"/>
        <v>28996.54</v>
      </c>
      <c r="AA37" s="95">
        <v>0.54744988425925911</v>
      </c>
      <c r="AB37">
        <v>10</v>
      </c>
      <c r="AC37" s="97">
        <v>0.50300925925925932</v>
      </c>
      <c r="AD37" s="97">
        <f t="shared" si="5"/>
        <v>8.9583333333333459E-3</v>
      </c>
    </row>
    <row r="38" spans="5:32" x14ac:dyDescent="0.25">
      <c r="E38" s="46">
        <f>E37^2</f>
        <v>1300837145.0943997</v>
      </c>
      <c r="F38" s="46">
        <f t="shared" ref="F38:X38" si="7">F37^2</f>
        <v>1256905282.1795995</v>
      </c>
      <c r="G38" s="46">
        <f t="shared" si="7"/>
        <v>1220588379.0863998</v>
      </c>
      <c r="H38" s="46">
        <f t="shared" si="7"/>
        <v>1208530133.7663994</v>
      </c>
      <c r="I38" s="46">
        <f t="shared" si="7"/>
        <v>1147165384.2288997</v>
      </c>
      <c r="J38" s="46">
        <f t="shared" si="7"/>
        <v>1175646371.2900002</v>
      </c>
      <c r="K38" s="46">
        <f t="shared" si="7"/>
        <v>1113533541.1225002</v>
      </c>
      <c r="L38" s="46">
        <f t="shared" si="7"/>
        <v>1079783543.2035999</v>
      </c>
      <c r="M38" s="46">
        <f t="shared" si="7"/>
        <v>1082977928.4768999</v>
      </c>
      <c r="N38" s="46">
        <f t="shared" si="7"/>
        <v>1041837006.25</v>
      </c>
      <c r="O38" s="46">
        <f t="shared" si="7"/>
        <v>990137475.60250032</v>
      </c>
      <c r="P38" s="46">
        <f t="shared" si="7"/>
        <v>920070262.67559993</v>
      </c>
      <c r="Q38" s="46">
        <f t="shared" si="7"/>
        <v>955177127.28360009</v>
      </c>
      <c r="R38" s="46">
        <f t="shared" si="7"/>
        <v>1000157702.5729001</v>
      </c>
      <c r="S38" s="46">
        <f t="shared" si="7"/>
        <v>953925229.06240022</v>
      </c>
      <c r="T38" s="46">
        <f t="shared" si="7"/>
        <v>908415983.20360017</v>
      </c>
      <c r="U38" s="46">
        <f t="shared" si="7"/>
        <v>925512686.61759984</v>
      </c>
      <c r="V38" s="46">
        <f t="shared" si="7"/>
        <v>885693907.5720998</v>
      </c>
      <c r="W38" s="46">
        <f t="shared" si="7"/>
        <v>875465721.5928998</v>
      </c>
      <c r="X38" s="46">
        <f t="shared" si="7"/>
        <v>840799331.97160006</v>
      </c>
      <c r="Y38" s="46"/>
      <c r="AA38" s="95">
        <v>0.55960740740740733</v>
      </c>
      <c r="AB38">
        <v>11</v>
      </c>
      <c r="AC38" s="97">
        <v>0.54965277777777777</v>
      </c>
      <c r="AD38" s="97">
        <f t="shared" si="5"/>
        <v>4.6643518518518445E-2</v>
      </c>
    </row>
    <row r="39" spans="5:32" x14ac:dyDescent="0.25">
      <c r="Y39" s="46"/>
      <c r="AA39" s="95">
        <v>0.57324918981481476</v>
      </c>
      <c r="AB39">
        <v>12</v>
      </c>
      <c r="AC39" s="97">
        <v>0.55906250000000002</v>
      </c>
      <c r="AD39" s="97">
        <f t="shared" si="5"/>
        <v>9.4097222222222499E-3</v>
      </c>
      <c r="AE39" s="97">
        <f>+AVERAGE(AD39:AD46)</f>
        <v>1.0105613425925933E-2</v>
      </c>
    </row>
    <row r="40" spans="5:32" x14ac:dyDescent="0.25">
      <c r="W40" t="s">
        <v>345</v>
      </c>
      <c r="X40" s="46">
        <f>AVERAGE(E37:X37)</f>
        <v>32245.889499999997</v>
      </c>
      <c r="Y40" s="46">
        <f>+AVERAGE(E78:X78)</f>
        <v>537.43149166666672</v>
      </c>
      <c r="AA40" s="95">
        <v>0.58531157407407408</v>
      </c>
      <c r="AB40">
        <v>13</v>
      </c>
      <c r="AC40" s="97">
        <v>0.57568287037037036</v>
      </c>
      <c r="AD40" s="97">
        <f t="shared" si="5"/>
        <v>1.6620370370370341E-2</v>
      </c>
      <c r="AF40" s="95">
        <v>9.2939814814814812E-3</v>
      </c>
    </row>
    <row r="41" spans="5:32" x14ac:dyDescent="0.25">
      <c r="W41" t="s">
        <v>346</v>
      </c>
      <c r="X41" s="46">
        <f>STDEVA(E37:X37)</f>
        <v>2142.4573929227167</v>
      </c>
      <c r="Y41" s="46">
        <f>+STDEVA(E78:X78)</f>
        <v>35.707623215378618</v>
      </c>
      <c r="AA41" s="95">
        <v>0.59847812500000008</v>
      </c>
      <c r="AB41">
        <v>14</v>
      </c>
      <c r="AC41" s="97">
        <v>0.58854166666666663</v>
      </c>
      <c r="AD41" s="97">
        <f t="shared" si="5"/>
        <v>1.2858796296296271E-2</v>
      </c>
    </row>
    <row r="42" spans="5:32" x14ac:dyDescent="0.25">
      <c r="E42" s="97"/>
      <c r="F42" s="97"/>
      <c r="G42" s="97"/>
      <c r="H42" s="97"/>
      <c r="W42" t="s">
        <v>286</v>
      </c>
      <c r="X42">
        <v>2.093</v>
      </c>
      <c r="Y42" s="46">
        <v>2.093</v>
      </c>
      <c r="AA42" s="95">
        <v>0.61252662037037053</v>
      </c>
      <c r="AB42">
        <v>15</v>
      </c>
      <c r="AC42" s="97">
        <v>0.59527777777777779</v>
      </c>
      <c r="AD42" s="97">
        <f t="shared" si="5"/>
        <v>6.7361111111111649E-3</v>
      </c>
    </row>
    <row r="43" spans="5:32" x14ac:dyDescent="0.25">
      <c r="E43" s="97"/>
      <c r="F43" s="97"/>
      <c r="G43" s="97"/>
      <c r="H43" s="97"/>
      <c r="W43" t="s">
        <v>226</v>
      </c>
      <c r="X43">
        <v>0.05</v>
      </c>
      <c r="Y43" s="46">
        <v>0.05</v>
      </c>
      <c r="AA43" s="95">
        <v>0.62329155092592614</v>
      </c>
      <c r="AB43">
        <v>16</v>
      </c>
      <c r="AC43" s="97">
        <v>0.60531250000000003</v>
      </c>
      <c r="AD43" s="97">
        <f t="shared" si="5"/>
        <v>1.0034722222222237E-2</v>
      </c>
    </row>
    <row r="44" spans="5:32" x14ac:dyDescent="0.25">
      <c r="E44" s="97"/>
      <c r="F44" s="97"/>
      <c r="G44" s="97"/>
      <c r="H44" s="97"/>
      <c r="I44" s="141"/>
      <c r="Y44" s="46"/>
      <c r="AA44" s="95">
        <v>0.63671493055555572</v>
      </c>
      <c r="AB44">
        <v>17</v>
      </c>
      <c r="AC44" s="97">
        <v>0.61481481481481481</v>
      </c>
      <c r="AD44" s="97">
        <f t="shared" si="5"/>
        <v>9.5023148148147829E-3</v>
      </c>
    </row>
    <row r="45" spans="5:32" x14ac:dyDescent="0.25">
      <c r="E45" s="97"/>
      <c r="F45" s="97"/>
      <c r="G45" s="97"/>
      <c r="H45" s="97"/>
      <c r="I45" s="97"/>
      <c r="W45" t="s">
        <v>347</v>
      </c>
      <c r="X45" s="142">
        <f>((X41*X42)/(X43*X40))^2</f>
        <v>7.7352456972999253</v>
      </c>
      <c r="Y45" s="46">
        <f>((Y41*Y42)/(Y43*Y40))^2</f>
        <v>7.7352456972999253</v>
      </c>
      <c r="AA45" s="95">
        <v>0.64883437500000019</v>
      </c>
      <c r="AB45">
        <v>18</v>
      </c>
      <c r="AC45" s="97">
        <v>0.62061342592592594</v>
      </c>
      <c r="AD45" s="97">
        <f t="shared" si="5"/>
        <v>5.7986111111111294E-3</v>
      </c>
    </row>
    <row r="46" spans="5:32" x14ac:dyDescent="0.25">
      <c r="E46" s="97"/>
      <c r="F46" s="97"/>
      <c r="G46" s="97"/>
      <c r="AA46" s="95">
        <v>0.66167418981481507</v>
      </c>
      <c r="AB46">
        <v>19</v>
      </c>
      <c r="AC46" s="97">
        <v>0.63049768518518523</v>
      </c>
      <c r="AD46" s="97">
        <f t="shared" si="5"/>
        <v>9.8842592592592871E-3</v>
      </c>
    </row>
    <row r="47" spans="5:32" x14ac:dyDescent="0.25">
      <c r="AA47" s="95">
        <v>0.67472546296296321</v>
      </c>
      <c r="AB47">
        <v>20</v>
      </c>
      <c r="AC47" s="97">
        <v>0.64019675925925923</v>
      </c>
    </row>
    <row r="48" spans="5:32" x14ac:dyDescent="0.25">
      <c r="W48" s="98" t="s">
        <v>287</v>
      </c>
      <c r="X48" s="46">
        <f>SUM(E37:X37)</f>
        <v>644917.78999999992</v>
      </c>
    </row>
    <row r="49" spans="1:39" x14ac:dyDescent="0.25">
      <c r="W49" s="98" t="s">
        <v>288</v>
      </c>
      <c r="X49" s="46">
        <f>X48^2</f>
        <v>415918955858.48401</v>
      </c>
    </row>
    <row r="50" spans="1:39" x14ac:dyDescent="0.25">
      <c r="W50" s="98" t="s">
        <v>289</v>
      </c>
      <c r="X50" s="46">
        <f>SUM(E38:X38)</f>
        <v>20883160142.8535</v>
      </c>
    </row>
    <row r="51" spans="1:39" x14ac:dyDescent="0.25">
      <c r="X51">
        <v>40</v>
      </c>
    </row>
    <row r="53" spans="1:39" x14ac:dyDescent="0.25">
      <c r="W53" t="s">
        <v>347</v>
      </c>
      <c r="X53" s="46">
        <f>(X51*SQRT(20*X50-X49)/X48)^2</f>
        <v>6.7099495188364626</v>
      </c>
    </row>
    <row r="55" spans="1:39" x14ac:dyDescent="0.25">
      <c r="E55" s="127">
        <v>104653.18</v>
      </c>
      <c r="F55" s="127">
        <v>103065.69</v>
      </c>
      <c r="G55" s="127">
        <v>101124.8</v>
      </c>
      <c r="H55" s="127">
        <v>99420.35</v>
      </c>
      <c r="I55" s="127">
        <v>97392.07</v>
      </c>
      <c r="J55" s="139">
        <v>95426.63</v>
      </c>
      <c r="K55" s="127">
        <v>93673.04</v>
      </c>
      <c r="L55" s="127">
        <v>91443.32</v>
      </c>
      <c r="M55" s="127">
        <v>88501.59</v>
      </c>
      <c r="N55" s="127">
        <v>86590.15</v>
      </c>
      <c r="O55" s="127">
        <v>81509.740000000005</v>
      </c>
      <c r="P55" s="127">
        <v>79557.09</v>
      </c>
      <c r="Q55" s="127">
        <v>77718.899999999994</v>
      </c>
      <c r="R55" s="127">
        <v>75881.31</v>
      </c>
      <c r="S55" s="137">
        <v>74024.52</v>
      </c>
      <c r="T55" s="127">
        <v>71867.429999999993</v>
      </c>
      <c r="U55" s="127">
        <v>70188.649999999994</v>
      </c>
      <c r="V55" s="127">
        <v>68561.53</v>
      </c>
      <c r="W55" s="127">
        <v>66821.17</v>
      </c>
      <c r="X55" s="127">
        <v>64962.54</v>
      </c>
    </row>
    <row r="56" spans="1:39" x14ac:dyDescent="0.25">
      <c r="E56" s="46">
        <f>+E55-57600</f>
        <v>47053.179999999993</v>
      </c>
      <c r="F56" s="46">
        <f t="shared" ref="F56:I56" si="8">+F55-57600</f>
        <v>45465.69</v>
      </c>
      <c r="G56" s="46">
        <f t="shared" si="8"/>
        <v>43524.800000000003</v>
      </c>
      <c r="H56" s="46">
        <f>+H55-57600</f>
        <v>41820.350000000006</v>
      </c>
      <c r="I56" s="46">
        <f t="shared" si="8"/>
        <v>39792.070000000007</v>
      </c>
      <c r="J56" s="46">
        <v>37826.629999999997</v>
      </c>
      <c r="K56" s="46">
        <f>+K55-57600</f>
        <v>36073.039999999994</v>
      </c>
      <c r="L56" s="46">
        <v>41043.32</v>
      </c>
      <c r="M56" s="46">
        <v>30901.59</v>
      </c>
      <c r="N56" s="46">
        <v>28990.15</v>
      </c>
      <c r="O56" s="46">
        <v>25509.74</v>
      </c>
      <c r="P56" s="46">
        <v>25557.09</v>
      </c>
      <c r="Q56" s="46">
        <v>23718.9</v>
      </c>
      <c r="R56" s="46">
        <v>21881.31</v>
      </c>
      <c r="S56" s="143">
        <v>20024.52</v>
      </c>
      <c r="T56" s="46">
        <v>17867.43</v>
      </c>
      <c r="U56" s="46">
        <v>16188.65</v>
      </c>
      <c r="V56" s="46">
        <v>14561.53</v>
      </c>
      <c r="W56" s="46">
        <v>12821</v>
      </c>
      <c r="X56" s="46">
        <v>10962.54</v>
      </c>
    </row>
    <row r="57" spans="1:39" x14ac:dyDescent="0.25"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143"/>
      <c r="T57" s="46"/>
      <c r="U57" s="46"/>
      <c r="V57" s="46"/>
      <c r="W57" s="46"/>
      <c r="X57" s="46"/>
    </row>
    <row r="58" spans="1:39" x14ac:dyDescent="0.25"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143"/>
      <c r="T58" s="46"/>
      <c r="U58" s="46"/>
      <c r="V58" s="46"/>
      <c r="W58" s="46"/>
      <c r="X58" s="46"/>
    </row>
    <row r="59" spans="1:39" x14ac:dyDescent="0.25"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143"/>
      <c r="T59" s="46"/>
      <c r="U59" s="46"/>
      <c r="V59" s="46"/>
      <c r="W59" s="46"/>
      <c r="X59" s="46"/>
    </row>
    <row r="60" spans="1:39" x14ac:dyDescent="0.25">
      <c r="A60" s="322" t="s">
        <v>348</v>
      </c>
      <c r="B60" s="323"/>
      <c r="C60" s="323"/>
      <c r="D60" s="323"/>
      <c r="E60" s="323"/>
      <c r="F60" s="323"/>
      <c r="G60" s="323"/>
      <c r="H60" s="324"/>
      <c r="I60" s="328" t="s">
        <v>349</v>
      </c>
      <c r="J60" s="328"/>
      <c r="K60" s="328"/>
      <c r="L60" s="328"/>
      <c r="M60" s="328"/>
      <c r="N60" s="328"/>
      <c r="O60" s="328"/>
      <c r="P60" s="328"/>
      <c r="Q60" s="328"/>
      <c r="R60" s="328"/>
      <c r="S60" s="337" t="s">
        <v>350</v>
      </c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9"/>
    </row>
    <row r="61" spans="1:39" ht="15.75" x14ac:dyDescent="0.25">
      <c r="A61" s="325"/>
      <c r="B61" s="326"/>
      <c r="C61" s="326"/>
      <c r="D61" s="326"/>
      <c r="E61" s="326"/>
      <c r="F61" s="326"/>
      <c r="G61" s="326"/>
      <c r="H61" s="327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40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2"/>
      <c r="AG61" s="253" t="s">
        <v>294</v>
      </c>
      <c r="AH61" s="263"/>
      <c r="AI61" s="263"/>
      <c r="AJ61" s="263"/>
      <c r="AK61" s="263"/>
      <c r="AL61" s="263"/>
      <c r="AM61" s="254"/>
    </row>
    <row r="62" spans="1:39" ht="15.75" x14ac:dyDescent="0.25">
      <c r="A62" s="322" t="s">
        <v>351</v>
      </c>
      <c r="B62" s="323"/>
      <c r="C62" s="323"/>
      <c r="D62" s="323"/>
      <c r="E62" s="323"/>
      <c r="F62" s="323"/>
      <c r="G62" s="323"/>
      <c r="H62" s="324"/>
      <c r="I62" s="328" t="s">
        <v>296</v>
      </c>
      <c r="J62" s="328"/>
      <c r="K62" s="328"/>
      <c r="L62" s="328"/>
      <c r="M62" s="328"/>
      <c r="N62" s="328"/>
      <c r="O62" s="328"/>
      <c r="P62" s="328"/>
      <c r="Q62" s="328"/>
      <c r="R62" s="328"/>
      <c r="S62" s="329" t="s">
        <v>352</v>
      </c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G62" s="144" t="s">
        <v>298</v>
      </c>
      <c r="AH62" s="145"/>
      <c r="AI62" s="146"/>
      <c r="AJ62" s="146"/>
      <c r="AK62" s="146"/>
      <c r="AL62" s="146"/>
      <c r="AM62" s="147"/>
    </row>
    <row r="63" spans="1:39" ht="15.75" x14ac:dyDescent="0.25">
      <c r="A63" s="325"/>
      <c r="B63" s="326"/>
      <c r="C63" s="326"/>
      <c r="D63" s="326"/>
      <c r="E63" s="326"/>
      <c r="F63" s="326"/>
      <c r="G63" s="326"/>
      <c r="H63" s="327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G63" s="148" t="s">
        <v>299</v>
      </c>
      <c r="AH63" s="149"/>
      <c r="AI63" s="150"/>
      <c r="AJ63" s="150"/>
      <c r="AK63" s="150"/>
      <c r="AL63" s="150"/>
      <c r="AM63" s="151"/>
    </row>
    <row r="64" spans="1:39" ht="15.75" x14ac:dyDescent="0.25">
      <c r="A64" s="322" t="s">
        <v>353</v>
      </c>
      <c r="B64" s="323"/>
      <c r="C64" s="323"/>
      <c r="D64" s="323"/>
      <c r="E64" s="323"/>
      <c r="F64" s="323"/>
      <c r="G64" s="323"/>
      <c r="H64" s="324"/>
      <c r="I64" s="330" t="s">
        <v>354</v>
      </c>
      <c r="J64" s="330"/>
      <c r="K64" s="330"/>
      <c r="L64" s="330"/>
      <c r="M64" s="330"/>
      <c r="N64" s="330"/>
      <c r="O64" s="330"/>
      <c r="P64" s="330"/>
      <c r="Q64" s="330"/>
      <c r="R64" s="330"/>
      <c r="S64" s="280" t="s">
        <v>355</v>
      </c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G64" s="148" t="s">
        <v>303</v>
      </c>
      <c r="AH64" s="149"/>
      <c r="AI64" s="150"/>
      <c r="AJ64" s="150"/>
      <c r="AK64" s="150"/>
      <c r="AL64" s="150"/>
      <c r="AM64" s="151"/>
    </row>
    <row r="65" spans="1:82" ht="15.75" x14ac:dyDescent="0.25">
      <c r="A65" s="325"/>
      <c r="B65" s="326"/>
      <c r="C65" s="326"/>
      <c r="D65" s="326"/>
      <c r="E65" s="326"/>
      <c r="F65" s="326"/>
      <c r="G65" s="326"/>
      <c r="H65" s="327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G65" s="152" t="s">
        <v>304</v>
      </c>
      <c r="AH65" s="153"/>
      <c r="AI65" s="154"/>
      <c r="AJ65" s="154"/>
      <c r="AK65" s="154"/>
      <c r="AL65" s="154"/>
      <c r="AM65" s="155"/>
    </row>
    <row r="66" spans="1:82" ht="15.75" x14ac:dyDescent="0.25">
      <c r="A66" s="343"/>
      <c r="B66" s="343"/>
      <c r="C66" s="343"/>
      <c r="D66" s="343"/>
      <c r="E66" s="343"/>
      <c r="F66" s="343"/>
      <c r="G66" s="343"/>
      <c r="H66" s="343"/>
      <c r="I66" s="330" t="s">
        <v>356</v>
      </c>
      <c r="J66" s="330"/>
      <c r="K66" s="330"/>
      <c r="L66" s="330"/>
      <c r="M66" s="330"/>
      <c r="N66" s="330"/>
      <c r="O66" s="330"/>
      <c r="P66" s="330"/>
      <c r="Q66" s="330"/>
      <c r="R66" s="330"/>
      <c r="S66" s="344" t="s">
        <v>357</v>
      </c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G66" s="256" t="s">
        <v>307</v>
      </c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6"/>
      <c r="BJ66" s="256"/>
      <c r="BK66" s="256"/>
      <c r="BL66" s="256"/>
      <c r="BM66" s="256"/>
      <c r="BN66" s="256"/>
      <c r="BO66" s="256"/>
      <c r="BP66" s="256"/>
      <c r="BQ66" s="256"/>
      <c r="BR66" s="256"/>
      <c r="BS66" s="256"/>
    </row>
    <row r="67" spans="1:82" ht="15.75" x14ac:dyDescent="0.25">
      <c r="A67" s="343"/>
      <c r="B67" s="343"/>
      <c r="C67" s="343"/>
      <c r="D67" s="343"/>
      <c r="E67" s="343"/>
      <c r="F67" s="343"/>
      <c r="G67" s="343"/>
      <c r="H67" s="343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44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G67" s="260" t="s">
        <v>263</v>
      </c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2"/>
      <c r="BT67" s="156"/>
      <c r="BU67" s="156"/>
      <c r="BV67" s="156"/>
      <c r="BW67" s="156"/>
      <c r="BX67" s="156"/>
      <c r="BY67" s="156"/>
      <c r="BZ67" s="157"/>
      <c r="CA67" s="157"/>
      <c r="CB67" s="157"/>
      <c r="CC67" s="157"/>
      <c r="CD67" s="157"/>
    </row>
    <row r="68" spans="1:82" x14ac:dyDescent="0.25">
      <c r="A68" s="343"/>
      <c r="B68" s="343"/>
      <c r="C68" s="343"/>
      <c r="D68" s="343"/>
      <c r="E68" s="343"/>
      <c r="F68" s="343"/>
      <c r="G68" s="343"/>
      <c r="H68" s="343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44"/>
      <c r="T68" s="280"/>
      <c r="U68" s="280"/>
      <c r="V68" s="280"/>
      <c r="W68" s="280"/>
      <c r="X68" s="280"/>
      <c r="Y68" s="280"/>
      <c r="Z68" s="280"/>
      <c r="AA68" s="280"/>
      <c r="AB68" s="280"/>
      <c r="AC68" s="280"/>
      <c r="AD68" s="280"/>
      <c r="AG68" s="260" t="s">
        <v>358</v>
      </c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2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</row>
    <row r="69" spans="1:82" ht="15" customHeight="1" x14ac:dyDescent="0.25">
      <c r="A69" s="343"/>
      <c r="B69" s="343"/>
      <c r="C69" s="343"/>
      <c r="D69" s="343"/>
      <c r="E69" s="343"/>
      <c r="F69" s="343"/>
      <c r="G69" s="343"/>
      <c r="H69" s="343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G69" s="307" t="s">
        <v>202</v>
      </c>
      <c r="AH69" s="307" t="s">
        <v>203</v>
      </c>
      <c r="AI69" s="307"/>
      <c r="AJ69" s="307"/>
      <c r="AK69" s="307"/>
      <c r="AL69" s="307"/>
      <c r="AM69" s="307"/>
      <c r="AN69" s="345" t="s">
        <v>359</v>
      </c>
      <c r="AO69" s="346"/>
      <c r="AP69" s="346"/>
      <c r="AQ69" s="346"/>
      <c r="AR69" s="347"/>
      <c r="AS69" s="345" t="s">
        <v>360</v>
      </c>
      <c r="AT69" s="346"/>
      <c r="AU69" s="346"/>
      <c r="AV69" s="346"/>
      <c r="AW69" s="347"/>
      <c r="AX69" s="355" t="s">
        <v>361</v>
      </c>
      <c r="AY69" s="356"/>
      <c r="AZ69" s="356"/>
      <c r="BA69" s="356"/>
      <c r="BB69" s="357"/>
      <c r="BC69" s="287" t="s">
        <v>362</v>
      </c>
      <c r="BD69" s="288"/>
      <c r="BE69" s="288"/>
      <c r="BF69" s="288"/>
      <c r="BG69" s="289"/>
      <c r="BH69" s="358" t="s">
        <v>363</v>
      </c>
      <c r="BI69" s="359"/>
      <c r="BJ69" s="359"/>
      <c r="BK69" s="359"/>
      <c r="BL69" s="360"/>
      <c r="BM69" s="287" t="s">
        <v>364</v>
      </c>
      <c r="BN69" s="288"/>
      <c r="BO69" s="288"/>
      <c r="BP69" s="288"/>
      <c r="BQ69" s="289"/>
      <c r="BR69" s="299" t="s">
        <v>317</v>
      </c>
      <c r="BS69" s="299" t="s">
        <v>318</v>
      </c>
    </row>
    <row r="70" spans="1:82" ht="15" customHeight="1" x14ac:dyDescent="0.25">
      <c r="A70" s="348" t="s">
        <v>202</v>
      </c>
      <c r="B70" s="348" t="s">
        <v>203</v>
      </c>
      <c r="C70" s="350" t="s">
        <v>269</v>
      </c>
      <c r="D70" s="350" t="s">
        <v>270</v>
      </c>
      <c r="E70" s="352" t="s">
        <v>218</v>
      </c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4"/>
      <c r="Y70" s="350" t="s">
        <v>365</v>
      </c>
      <c r="Z70" s="350" t="s">
        <v>366</v>
      </c>
      <c r="AA70" s="350" t="s">
        <v>318</v>
      </c>
      <c r="AB70" s="350" t="s">
        <v>367</v>
      </c>
      <c r="AC70" s="350" t="s">
        <v>322</v>
      </c>
      <c r="AD70" s="350" t="s">
        <v>323</v>
      </c>
      <c r="AG70" s="307"/>
      <c r="AH70" s="307"/>
      <c r="AI70" s="307"/>
      <c r="AJ70" s="307"/>
      <c r="AK70" s="307"/>
      <c r="AL70" s="307"/>
      <c r="AM70" s="307"/>
      <c r="AN70" s="246" t="s">
        <v>324</v>
      </c>
      <c r="AO70" s="246" t="s">
        <v>325</v>
      </c>
      <c r="AP70" s="246" t="s">
        <v>326</v>
      </c>
      <c r="AQ70" s="246" t="s">
        <v>327</v>
      </c>
      <c r="AR70" s="246" t="s">
        <v>84</v>
      </c>
      <c r="AS70" s="246" t="s">
        <v>324</v>
      </c>
      <c r="AT70" s="246" t="s">
        <v>325</v>
      </c>
      <c r="AU70" s="246" t="s">
        <v>368</v>
      </c>
      <c r="AV70" s="246" t="s">
        <v>327</v>
      </c>
      <c r="AW70" s="246" t="s">
        <v>84</v>
      </c>
      <c r="AX70" s="246" t="s">
        <v>324</v>
      </c>
      <c r="AY70" s="246" t="s">
        <v>325</v>
      </c>
      <c r="AZ70" s="246" t="s">
        <v>368</v>
      </c>
      <c r="BA70" s="246" t="s">
        <v>327</v>
      </c>
      <c r="BB70" s="246" t="s">
        <v>84</v>
      </c>
      <c r="BC70" s="246" t="s">
        <v>324</v>
      </c>
      <c r="BD70" s="246" t="s">
        <v>325</v>
      </c>
      <c r="BE70" s="246" t="s">
        <v>368</v>
      </c>
      <c r="BF70" s="246" t="s">
        <v>327</v>
      </c>
      <c r="BG70" s="246" t="s">
        <v>84</v>
      </c>
      <c r="BH70" s="246" t="s">
        <v>324</v>
      </c>
      <c r="BI70" s="246" t="s">
        <v>325</v>
      </c>
      <c r="BJ70" s="246" t="s">
        <v>368</v>
      </c>
      <c r="BK70" s="246" t="s">
        <v>327</v>
      </c>
      <c r="BL70" s="246" t="s">
        <v>84</v>
      </c>
      <c r="BM70" s="240" t="s">
        <v>324</v>
      </c>
      <c r="BN70" s="246" t="s">
        <v>325</v>
      </c>
      <c r="BO70" s="246" t="s">
        <v>368</v>
      </c>
      <c r="BP70" s="246" t="s">
        <v>327</v>
      </c>
      <c r="BQ70" s="246" t="s">
        <v>84</v>
      </c>
      <c r="BR70" s="299"/>
      <c r="BS70" s="299"/>
    </row>
    <row r="71" spans="1:82" ht="15" customHeight="1" x14ac:dyDescent="0.25">
      <c r="A71" s="349"/>
      <c r="B71" s="349"/>
      <c r="C71" s="351"/>
      <c r="D71" s="351"/>
      <c r="E71" s="158">
        <v>1</v>
      </c>
      <c r="F71" s="158">
        <v>2</v>
      </c>
      <c r="G71" s="158">
        <v>3</v>
      </c>
      <c r="H71" s="158">
        <v>4</v>
      </c>
      <c r="I71" s="158">
        <v>5</v>
      </c>
      <c r="J71" s="158">
        <v>6</v>
      </c>
      <c r="K71" s="158">
        <v>7</v>
      </c>
      <c r="L71" s="158">
        <v>8</v>
      </c>
      <c r="M71" s="158">
        <v>9</v>
      </c>
      <c r="N71" s="158">
        <v>10</v>
      </c>
      <c r="O71" s="158">
        <v>11</v>
      </c>
      <c r="P71" s="158">
        <v>12</v>
      </c>
      <c r="Q71" s="158">
        <v>13</v>
      </c>
      <c r="R71" s="158">
        <v>14</v>
      </c>
      <c r="S71" s="158">
        <v>15</v>
      </c>
      <c r="T71" s="158">
        <v>16</v>
      </c>
      <c r="U71" s="158">
        <v>17</v>
      </c>
      <c r="V71" s="158">
        <v>18</v>
      </c>
      <c r="W71" s="158">
        <v>19</v>
      </c>
      <c r="X71" s="158">
        <v>20</v>
      </c>
      <c r="Y71" s="351"/>
      <c r="Z71" s="351"/>
      <c r="AA71" s="351"/>
      <c r="AB71" s="351"/>
      <c r="AC71" s="351"/>
      <c r="AD71" s="351"/>
      <c r="AG71" s="307"/>
      <c r="AH71" s="307"/>
      <c r="AI71" s="307"/>
      <c r="AJ71" s="307"/>
      <c r="AK71" s="307"/>
      <c r="AL71" s="307"/>
      <c r="AM71" s="307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2"/>
      <c r="BN71" s="244"/>
      <c r="BO71" s="244"/>
      <c r="BP71" s="244"/>
      <c r="BQ71" s="244"/>
      <c r="BR71" s="299"/>
      <c r="BS71" s="299"/>
    </row>
    <row r="72" spans="1:82" ht="15.75" x14ac:dyDescent="0.25">
      <c r="A72" s="42">
        <v>1</v>
      </c>
      <c r="B72" s="42" t="s">
        <v>339</v>
      </c>
      <c r="C72" s="42"/>
      <c r="D72" s="42" t="s">
        <v>278</v>
      </c>
      <c r="E72" s="56">
        <f t="shared" ref="E72:X77" si="9">+E31/60</f>
        <v>19.286333333333335</v>
      </c>
      <c r="F72" s="56">
        <f t="shared" si="9"/>
        <v>18.903333333333332</v>
      </c>
      <c r="G72" s="56">
        <f t="shared" si="9"/>
        <v>18.250499999999999</v>
      </c>
      <c r="H72" s="56">
        <f t="shared" si="9"/>
        <v>20.358499999999999</v>
      </c>
      <c r="I72" s="56">
        <f t="shared" si="9"/>
        <v>19.201833333333333</v>
      </c>
      <c r="J72" s="56">
        <f t="shared" si="9"/>
        <v>19.049333333333333</v>
      </c>
      <c r="K72" s="56">
        <f t="shared" si="9"/>
        <v>18.988</v>
      </c>
      <c r="L72" s="56">
        <f t="shared" si="9"/>
        <v>19.404833333333332</v>
      </c>
      <c r="M72" s="56">
        <f t="shared" si="9"/>
        <v>18.917999999999999</v>
      </c>
      <c r="N72" s="56">
        <f t="shared" si="9"/>
        <v>22.926499999999997</v>
      </c>
      <c r="O72" s="56">
        <f t="shared" si="9"/>
        <v>18.796499999999998</v>
      </c>
      <c r="P72" s="56">
        <f t="shared" si="9"/>
        <v>18.808166666666668</v>
      </c>
      <c r="Q72" s="56">
        <f t="shared" si="9"/>
        <v>18.305833333333332</v>
      </c>
      <c r="R72" s="56">
        <f t="shared" si="9"/>
        <v>18.230166666666666</v>
      </c>
      <c r="S72" s="56">
        <f t="shared" si="9"/>
        <v>18.598500000000001</v>
      </c>
      <c r="T72" s="56">
        <f t="shared" si="9"/>
        <v>18.282333333333334</v>
      </c>
      <c r="U72" s="56">
        <f t="shared" si="9"/>
        <v>18.194833333333335</v>
      </c>
      <c r="V72" s="56">
        <f t="shared" si="9"/>
        <v>18.243666666666666</v>
      </c>
      <c r="W72" s="56">
        <f t="shared" si="9"/>
        <v>18.441666666666666</v>
      </c>
      <c r="X72" s="56">
        <f t="shared" si="9"/>
        <v>18.511166666666668</v>
      </c>
      <c r="Y72" s="159">
        <f>+SUM(E72:X72)</f>
        <v>379.70000000000005</v>
      </c>
      <c r="Z72" s="159">
        <f>+AVERAGE(E72:X72)</f>
        <v>18.985000000000003</v>
      </c>
      <c r="AA72" s="159">
        <v>1</v>
      </c>
      <c r="AB72" s="159">
        <f>+Z72*AA72</f>
        <v>18.985000000000003</v>
      </c>
      <c r="AC72" s="159">
        <v>1.1100000000000001</v>
      </c>
      <c r="AD72" s="159">
        <f>+AC72*AB72</f>
        <v>21.073350000000005</v>
      </c>
      <c r="AE72" s="160"/>
      <c r="AF72" s="160"/>
      <c r="AG72" s="42">
        <v>1</v>
      </c>
      <c r="AH72" s="308" t="s">
        <v>369</v>
      </c>
      <c r="AI72" s="308"/>
      <c r="AJ72" s="308"/>
      <c r="AK72" s="308"/>
      <c r="AL72" s="308"/>
      <c r="AM72" s="308"/>
      <c r="AN72" s="59">
        <v>0</v>
      </c>
      <c r="AO72" s="59">
        <v>0</v>
      </c>
      <c r="AP72" s="59">
        <v>-0.03</v>
      </c>
      <c r="AQ72" s="59">
        <v>0</v>
      </c>
      <c r="AR72" s="106">
        <f>0+0+-0.03+0</f>
        <v>-0.03</v>
      </c>
      <c r="AS72" s="161">
        <v>0</v>
      </c>
      <c r="AT72" s="161">
        <v>0</v>
      </c>
      <c r="AU72" s="161">
        <v>-0.03</v>
      </c>
      <c r="AV72" s="161">
        <v>0</v>
      </c>
      <c r="AW72" s="106">
        <f>0+0+-0.03+0</f>
        <v>-0.03</v>
      </c>
      <c r="AX72" s="63">
        <v>0.03</v>
      </c>
      <c r="AY72" s="63">
        <v>0</v>
      </c>
      <c r="AZ72" s="63">
        <v>0</v>
      </c>
      <c r="BA72" s="63">
        <v>0</v>
      </c>
      <c r="BB72" s="106">
        <f>0.03+0+0+0</f>
        <v>0.03</v>
      </c>
      <c r="BC72" s="63">
        <v>0.03</v>
      </c>
      <c r="BD72" s="63">
        <v>0</v>
      </c>
      <c r="BE72" s="63">
        <v>0</v>
      </c>
      <c r="BF72" s="63">
        <v>0</v>
      </c>
      <c r="BG72" s="106">
        <f>0.03+0+0+0</f>
        <v>0.03</v>
      </c>
      <c r="BH72" s="59">
        <v>0</v>
      </c>
      <c r="BI72" s="59">
        <v>0</v>
      </c>
      <c r="BJ72" s="59">
        <v>0</v>
      </c>
      <c r="BK72" s="59">
        <v>0</v>
      </c>
      <c r="BL72" s="106">
        <f>0+0+0+0</f>
        <v>0</v>
      </c>
      <c r="BM72" s="59"/>
      <c r="BN72" s="59"/>
      <c r="BO72" s="59"/>
      <c r="BP72" s="59"/>
      <c r="BQ72" s="106"/>
      <c r="BR72" s="59">
        <f>+SUM(AR72+AW72+BB72+BG72)/4</f>
        <v>0</v>
      </c>
      <c r="BS72" s="108">
        <f t="shared" ref="BS72:BS77" si="10">1+BR72</f>
        <v>1</v>
      </c>
    </row>
    <row r="73" spans="1:82" ht="15.75" x14ac:dyDescent="0.25">
      <c r="A73" s="42">
        <v>2</v>
      </c>
      <c r="B73" s="42" t="s">
        <v>340</v>
      </c>
      <c r="C73" s="42" t="s">
        <v>278</v>
      </c>
      <c r="D73" s="42"/>
      <c r="E73" s="56">
        <f t="shared" si="9"/>
        <v>9.3603333333333332</v>
      </c>
      <c r="F73" s="56">
        <f t="shared" si="9"/>
        <v>2.9485000000000001</v>
      </c>
      <c r="G73" s="56">
        <f t="shared" si="9"/>
        <v>2.8128333333333333</v>
      </c>
      <c r="H73" s="56">
        <f t="shared" si="9"/>
        <v>2.5113333333333334</v>
      </c>
      <c r="I73" s="56">
        <f t="shared" si="9"/>
        <v>3.4308333333333332</v>
      </c>
      <c r="J73" s="56">
        <f t="shared" si="9"/>
        <v>2.6888333333333336</v>
      </c>
      <c r="K73" s="56">
        <f t="shared" si="9"/>
        <v>3.2281666666666666</v>
      </c>
      <c r="L73" s="56">
        <f t="shared" si="9"/>
        <v>2.4686666666666666</v>
      </c>
      <c r="M73" s="56">
        <f t="shared" si="9"/>
        <v>8.6461666666666659</v>
      </c>
      <c r="N73" s="56">
        <f t="shared" si="9"/>
        <v>4.0270000000000001</v>
      </c>
      <c r="O73" s="56">
        <f t="shared" si="9"/>
        <v>2.7373333333333334</v>
      </c>
      <c r="P73" s="56">
        <f t="shared" si="9"/>
        <v>3.5733333333333333</v>
      </c>
      <c r="Q73" s="56">
        <f t="shared" si="9"/>
        <v>2.6373333333333333</v>
      </c>
      <c r="R73" s="56">
        <f t="shared" si="9"/>
        <v>3.367</v>
      </c>
      <c r="S73" s="56">
        <f t="shared" si="9"/>
        <v>4.9983333333333331</v>
      </c>
      <c r="T73" s="56">
        <f t="shared" si="9"/>
        <v>2.2175000000000002</v>
      </c>
      <c r="U73" s="56">
        <f t="shared" si="9"/>
        <v>3.3523333333333332</v>
      </c>
      <c r="V73" s="56">
        <f t="shared" si="9"/>
        <v>2.5606666666666666</v>
      </c>
      <c r="W73" s="56">
        <f t="shared" si="9"/>
        <v>2.6083333333333334</v>
      </c>
      <c r="X73" s="56">
        <f t="shared" si="9"/>
        <v>2.891</v>
      </c>
      <c r="Y73" s="159">
        <f t="shared" ref="Y73:Y77" si="11">+SUM(E73:X73)</f>
        <v>73.06583333333333</v>
      </c>
      <c r="Z73" s="159">
        <f t="shared" ref="Z73:Z77" si="12">+AVERAGE(E73:X73)</f>
        <v>3.6532916666666666</v>
      </c>
      <c r="AA73" s="60">
        <v>0.98</v>
      </c>
      <c r="AB73" s="159">
        <f t="shared" ref="AB73:AB77" si="13">+Z73*AA73</f>
        <v>3.580225833333333</v>
      </c>
      <c r="AC73" s="159">
        <v>1.1100000000000001</v>
      </c>
      <c r="AD73" s="159">
        <f t="shared" ref="AD73:AD77" si="14">+AC73*AB73</f>
        <v>3.974050675</v>
      </c>
      <c r="AG73" s="42">
        <v>2</v>
      </c>
      <c r="AH73" s="308" t="s">
        <v>340</v>
      </c>
      <c r="AI73" s="308"/>
      <c r="AJ73" s="308"/>
      <c r="AK73" s="308"/>
      <c r="AL73" s="308"/>
      <c r="AM73" s="308"/>
      <c r="AN73" s="59"/>
      <c r="AO73" s="59"/>
      <c r="AP73" s="59"/>
      <c r="AQ73" s="59"/>
      <c r="AR73" s="106"/>
      <c r="AS73" s="161"/>
      <c r="AT73" s="161"/>
      <c r="AU73" s="161"/>
      <c r="AV73" s="161"/>
      <c r="AW73" s="106"/>
      <c r="AX73" s="63"/>
      <c r="AY73" s="63"/>
      <c r="AZ73" s="63"/>
      <c r="BA73" s="63"/>
      <c r="BB73" s="106"/>
      <c r="BC73" s="111"/>
      <c r="BD73" s="111"/>
      <c r="BE73" s="111"/>
      <c r="BF73" s="111"/>
      <c r="BG73" s="106"/>
      <c r="BH73" s="59"/>
      <c r="BI73" s="59"/>
      <c r="BJ73" s="59"/>
      <c r="BK73" s="59"/>
      <c r="BL73" s="106"/>
      <c r="BM73" s="59">
        <v>0</v>
      </c>
      <c r="BN73" s="59">
        <v>0</v>
      </c>
      <c r="BO73" s="59">
        <v>0</v>
      </c>
      <c r="BP73" s="59">
        <v>-0.02</v>
      </c>
      <c r="BQ73" s="106">
        <f>0+0+0-0.02</f>
        <v>-0.02</v>
      </c>
      <c r="BR73" s="59">
        <f>+BQ73</f>
        <v>-0.02</v>
      </c>
      <c r="BS73" s="108">
        <f t="shared" si="10"/>
        <v>0.98</v>
      </c>
    </row>
    <row r="74" spans="1:82" ht="15.75" x14ac:dyDescent="0.25">
      <c r="A74" s="42">
        <v>3</v>
      </c>
      <c r="B74" s="42" t="s">
        <v>280</v>
      </c>
      <c r="C74" s="42" t="s">
        <v>278</v>
      </c>
      <c r="D74" s="42"/>
      <c r="E74" s="56">
        <f t="shared" si="9"/>
        <v>536.63599999999997</v>
      </c>
      <c r="F74" s="56">
        <f t="shared" si="9"/>
        <v>536.34483333333333</v>
      </c>
      <c r="G74" s="56">
        <f t="shared" si="9"/>
        <v>528.73</v>
      </c>
      <c r="H74" s="56">
        <f t="shared" si="9"/>
        <v>518.33916666666664</v>
      </c>
      <c r="I74" s="56">
        <f t="shared" si="9"/>
        <v>506.8845</v>
      </c>
      <c r="J74" s="56">
        <f t="shared" si="9"/>
        <v>509.02716666666669</v>
      </c>
      <c r="K74" s="56">
        <f t="shared" si="9"/>
        <v>500.21733333333333</v>
      </c>
      <c r="L74" s="56">
        <f t="shared" si="9"/>
        <v>493.23866666666669</v>
      </c>
      <c r="M74" s="56">
        <f t="shared" si="9"/>
        <v>481.40983333333332</v>
      </c>
      <c r="N74" s="56">
        <f t="shared" si="9"/>
        <v>476.0025</v>
      </c>
      <c r="O74" s="56">
        <f t="shared" si="9"/>
        <v>465.66233333333338</v>
      </c>
      <c r="P74" s="56">
        <f t="shared" si="9"/>
        <v>459.56816666666668</v>
      </c>
      <c r="Q74" s="56">
        <f t="shared" si="9"/>
        <v>466.13166666666672</v>
      </c>
      <c r="R74" s="56">
        <f t="shared" si="9"/>
        <v>465.68850000000003</v>
      </c>
      <c r="S74" s="56">
        <f t="shared" si="9"/>
        <v>455.15866666666665</v>
      </c>
      <c r="T74" s="56">
        <f t="shared" si="9"/>
        <v>454.10716666666667</v>
      </c>
      <c r="U74" s="56">
        <f t="shared" si="9"/>
        <v>448.46116666666666</v>
      </c>
      <c r="V74" s="56">
        <f t="shared" si="9"/>
        <v>439.35883333333334</v>
      </c>
      <c r="W74" s="56">
        <f t="shared" si="9"/>
        <v>435.10283333333331</v>
      </c>
      <c r="X74" s="56">
        <f t="shared" si="9"/>
        <v>430.27566666666667</v>
      </c>
      <c r="Y74" s="159">
        <f t="shared" si="11"/>
        <v>9606.3449999999993</v>
      </c>
      <c r="Z74" s="159">
        <f t="shared" si="12"/>
        <v>480.31724999999994</v>
      </c>
      <c r="AA74" s="60">
        <v>1</v>
      </c>
      <c r="AB74" s="159">
        <f t="shared" si="13"/>
        <v>480.31724999999994</v>
      </c>
      <c r="AC74" s="159">
        <v>1.1100000000000001</v>
      </c>
      <c r="AD74" s="159">
        <f t="shared" si="14"/>
        <v>533.15214749999996</v>
      </c>
      <c r="AG74" s="42">
        <v>3</v>
      </c>
      <c r="AH74" s="308" t="s">
        <v>280</v>
      </c>
      <c r="AI74" s="308"/>
      <c r="AJ74" s="308"/>
      <c r="AK74" s="308"/>
      <c r="AL74" s="308"/>
      <c r="AM74" s="308"/>
      <c r="AN74" s="59"/>
      <c r="AO74" s="59"/>
      <c r="AP74" s="59"/>
      <c r="AQ74" s="59"/>
      <c r="AR74" s="106"/>
      <c r="AS74" s="161"/>
      <c r="AT74" s="161"/>
      <c r="AU74" s="161"/>
      <c r="AV74" s="161"/>
      <c r="AW74" s="106"/>
      <c r="AX74" s="63"/>
      <c r="AY74" s="63"/>
      <c r="AZ74" s="63"/>
      <c r="BA74" s="63"/>
      <c r="BB74" s="106"/>
      <c r="BC74" s="111"/>
      <c r="BD74" s="111"/>
      <c r="BE74" s="111"/>
      <c r="BF74" s="111"/>
      <c r="BG74" s="106"/>
      <c r="BH74" s="59"/>
      <c r="BI74" s="59"/>
      <c r="BJ74" s="59"/>
      <c r="BK74" s="59"/>
      <c r="BL74" s="106"/>
      <c r="BM74" s="59"/>
      <c r="BN74" s="59"/>
      <c r="BO74" s="59"/>
      <c r="BP74" s="59"/>
      <c r="BQ74" s="106"/>
      <c r="BR74" s="59">
        <f>+BQ74</f>
        <v>0</v>
      </c>
      <c r="BS74" s="108">
        <f t="shared" si="10"/>
        <v>1</v>
      </c>
    </row>
    <row r="75" spans="1:82" ht="15.75" x14ac:dyDescent="0.25">
      <c r="A75" s="42">
        <v>4</v>
      </c>
      <c r="B75" s="42" t="s">
        <v>341</v>
      </c>
      <c r="C75" s="42" t="s">
        <v>278</v>
      </c>
      <c r="D75" s="42"/>
      <c r="E75" s="56">
        <f t="shared" si="9"/>
        <v>18.4285</v>
      </c>
      <c r="F75" s="56">
        <f t="shared" si="9"/>
        <v>15.277833333333332</v>
      </c>
      <c r="G75" s="56">
        <f t="shared" si="9"/>
        <v>16.375499999999999</v>
      </c>
      <c r="H75" s="56">
        <f t="shared" si="9"/>
        <v>18.344666666666669</v>
      </c>
      <c r="I75" s="56">
        <f t="shared" si="9"/>
        <v>15.836500000000001</v>
      </c>
      <c r="J75" s="56">
        <f t="shared" si="9"/>
        <v>20.8385</v>
      </c>
      <c r="K75" s="56">
        <f t="shared" si="9"/>
        <v>13.110999999999999</v>
      </c>
      <c r="L75" s="56">
        <f t="shared" si="9"/>
        <v>15.674000000000001</v>
      </c>
      <c r="M75" s="56">
        <f t="shared" si="9"/>
        <v>17.7255</v>
      </c>
      <c r="N75" s="56">
        <f t="shared" si="9"/>
        <v>17.580666666666666</v>
      </c>
      <c r="O75" s="56">
        <f t="shared" si="9"/>
        <v>17.486166666666669</v>
      </c>
      <c r="P75" s="56">
        <f t="shared" si="9"/>
        <v>3.3340000000000001</v>
      </c>
      <c r="Q75" s="56">
        <f t="shared" si="9"/>
        <v>11.0975</v>
      </c>
      <c r="R75" s="56">
        <f t="shared" si="9"/>
        <v>19.633333333333333</v>
      </c>
      <c r="S75" s="56">
        <f t="shared" si="9"/>
        <v>16.860499999999998</v>
      </c>
      <c r="T75" s="56">
        <f t="shared" si="9"/>
        <v>11.019333333333332</v>
      </c>
      <c r="U75" s="56">
        <f t="shared" si="9"/>
        <v>18.669333333333334</v>
      </c>
      <c r="V75" s="56">
        <f t="shared" si="9"/>
        <v>16.276166666666668</v>
      </c>
      <c r="W75" s="56">
        <f t="shared" si="9"/>
        <v>16.925166666666666</v>
      </c>
      <c r="X75" s="56">
        <f t="shared" si="9"/>
        <v>16.049666666666667</v>
      </c>
      <c r="Y75" s="159">
        <f t="shared" si="11"/>
        <v>316.54383333333334</v>
      </c>
      <c r="Z75" s="159">
        <f t="shared" si="12"/>
        <v>15.827191666666668</v>
      </c>
      <c r="AA75" s="162">
        <v>0.98</v>
      </c>
      <c r="AB75" s="159">
        <f t="shared" si="13"/>
        <v>15.510647833333334</v>
      </c>
      <c r="AC75" s="159">
        <v>1.1100000000000001</v>
      </c>
      <c r="AD75" s="159">
        <f t="shared" si="14"/>
        <v>17.216819095000002</v>
      </c>
      <c r="AG75" s="42">
        <v>4</v>
      </c>
      <c r="AH75" s="308" t="s">
        <v>341</v>
      </c>
      <c r="AI75" s="308"/>
      <c r="AJ75" s="308"/>
      <c r="AK75" s="308"/>
      <c r="AL75" s="308"/>
      <c r="AM75" s="308"/>
      <c r="AN75" s="59"/>
      <c r="AO75" s="59"/>
      <c r="AP75" s="59"/>
      <c r="AQ75" s="59"/>
      <c r="AR75" s="106"/>
      <c r="AS75" s="161"/>
      <c r="AT75" s="161"/>
      <c r="AU75" s="161"/>
      <c r="AV75" s="161"/>
      <c r="AW75" s="106"/>
      <c r="AX75" s="63"/>
      <c r="AY75" s="63"/>
      <c r="AZ75" s="63"/>
      <c r="BA75" s="63"/>
      <c r="BB75" s="106"/>
      <c r="BC75" s="111"/>
      <c r="BD75" s="111"/>
      <c r="BE75" s="111"/>
      <c r="BF75" s="111"/>
      <c r="BG75" s="106"/>
      <c r="BH75" s="59"/>
      <c r="BI75" s="59"/>
      <c r="BJ75" s="59"/>
      <c r="BK75" s="59"/>
      <c r="BL75" s="106"/>
      <c r="BM75" s="59">
        <v>0</v>
      </c>
      <c r="BN75" s="59">
        <v>0</v>
      </c>
      <c r="BO75" s="59">
        <v>0</v>
      </c>
      <c r="BP75" s="59">
        <v>-0.02</v>
      </c>
      <c r="BQ75" s="106">
        <f>0+0+0-0.02</f>
        <v>-0.02</v>
      </c>
      <c r="BR75" s="59">
        <f>+BQ75</f>
        <v>-0.02</v>
      </c>
      <c r="BS75" s="108">
        <f t="shared" si="10"/>
        <v>0.98</v>
      </c>
    </row>
    <row r="76" spans="1:82" ht="15.75" x14ac:dyDescent="0.25">
      <c r="A76" s="42">
        <v>5</v>
      </c>
      <c r="B76" s="42" t="s">
        <v>342</v>
      </c>
      <c r="C76" s="42"/>
      <c r="D76" s="42" t="s">
        <v>278</v>
      </c>
      <c r="E76" s="56">
        <f t="shared" si="9"/>
        <v>12.1165</v>
      </c>
      <c r="F76" s="56">
        <f t="shared" si="9"/>
        <v>12.442499999999999</v>
      </c>
      <c r="G76" s="56">
        <f t="shared" si="9"/>
        <v>12.219166666666666</v>
      </c>
      <c r="H76" s="56">
        <f t="shared" si="9"/>
        <v>11.926500000000001</v>
      </c>
      <c r="I76" s="56">
        <f t="shared" si="9"/>
        <v>13.698833333333333</v>
      </c>
      <c r="J76" s="56">
        <f t="shared" si="9"/>
        <v>14.880333333333335</v>
      </c>
      <c r="K76" s="56">
        <f t="shared" si="9"/>
        <v>14.021666666666667</v>
      </c>
      <c r="L76" s="56">
        <f t="shared" si="9"/>
        <v>11.785</v>
      </c>
      <c r="M76" s="56">
        <f t="shared" si="9"/>
        <v>12.178666666666667</v>
      </c>
      <c r="N76" s="56">
        <f t="shared" si="9"/>
        <v>13.013666666666667</v>
      </c>
      <c r="O76" s="56">
        <f t="shared" si="9"/>
        <v>13.951333333333334</v>
      </c>
      <c r="P76" s="56">
        <f t="shared" si="9"/>
        <v>14.113</v>
      </c>
      <c r="Q76" s="56">
        <f t="shared" si="9"/>
        <v>12.283999999999999</v>
      </c>
      <c r="R76" s="56">
        <f t="shared" si="9"/>
        <v>13.7805</v>
      </c>
      <c r="S76" s="56">
        <f t="shared" si="9"/>
        <v>13.892333333333333</v>
      </c>
      <c r="T76" s="56">
        <f t="shared" si="9"/>
        <v>11.905166666666666</v>
      </c>
      <c r="U76" s="56">
        <f t="shared" si="9"/>
        <v>13.6235</v>
      </c>
      <c r="V76" s="56">
        <f t="shared" si="9"/>
        <v>14.2255</v>
      </c>
      <c r="W76" s="56">
        <f t="shared" si="9"/>
        <v>14.466833333333334</v>
      </c>
      <c r="X76" s="56">
        <f t="shared" si="9"/>
        <v>11.8515</v>
      </c>
      <c r="Y76" s="159">
        <f t="shared" si="11"/>
        <v>262.37650000000002</v>
      </c>
      <c r="Z76" s="159">
        <f t="shared" si="12"/>
        <v>13.118825000000001</v>
      </c>
      <c r="AA76" s="162">
        <v>1</v>
      </c>
      <c r="AB76" s="159">
        <f t="shared" si="13"/>
        <v>13.118825000000001</v>
      </c>
      <c r="AC76" s="159">
        <v>1.1100000000000001</v>
      </c>
      <c r="AD76" s="159">
        <f t="shared" si="14"/>
        <v>14.561895750000003</v>
      </c>
      <c r="AG76" s="42">
        <v>5</v>
      </c>
      <c r="AH76" s="308" t="s">
        <v>342</v>
      </c>
      <c r="AI76" s="308"/>
      <c r="AJ76" s="308"/>
      <c r="AK76" s="308"/>
      <c r="AL76" s="308"/>
      <c r="AM76" s="308"/>
      <c r="AN76" s="59">
        <v>0</v>
      </c>
      <c r="AO76" s="59">
        <v>0</v>
      </c>
      <c r="AP76" s="59">
        <v>-0.03</v>
      </c>
      <c r="AQ76" s="59">
        <v>0</v>
      </c>
      <c r="AR76" s="106">
        <f>0+0+-0.03+0</f>
        <v>-0.03</v>
      </c>
      <c r="AS76" s="161">
        <v>0</v>
      </c>
      <c r="AT76" s="161">
        <v>0</v>
      </c>
      <c r="AU76" s="161">
        <v>-0.03</v>
      </c>
      <c r="AV76" s="161">
        <v>0</v>
      </c>
      <c r="AW76" s="106">
        <f>0+0-0.03+0</f>
        <v>-0.03</v>
      </c>
      <c r="AX76" s="63">
        <v>0.03</v>
      </c>
      <c r="AY76" s="63">
        <v>0</v>
      </c>
      <c r="AZ76" s="63">
        <v>0</v>
      </c>
      <c r="BA76" s="63">
        <v>0</v>
      </c>
      <c r="BB76" s="106">
        <f>0.03+0+0+0</f>
        <v>0.03</v>
      </c>
      <c r="BC76" s="63">
        <v>0.03</v>
      </c>
      <c r="BD76" s="63">
        <v>0</v>
      </c>
      <c r="BE76" s="63">
        <v>0</v>
      </c>
      <c r="BF76" s="63">
        <v>0</v>
      </c>
      <c r="BG76" s="106">
        <f>0.03+0+0+0</f>
        <v>0.03</v>
      </c>
      <c r="BH76" s="59">
        <v>0</v>
      </c>
      <c r="BI76" s="59">
        <v>0</v>
      </c>
      <c r="BJ76" s="59">
        <v>0</v>
      </c>
      <c r="BK76" s="59">
        <v>0</v>
      </c>
      <c r="BL76" s="106">
        <f>0+0+0+0</f>
        <v>0</v>
      </c>
      <c r="BM76" s="59"/>
      <c r="BN76" s="59"/>
      <c r="BO76" s="59"/>
      <c r="BP76" s="59"/>
      <c r="BQ76" s="106"/>
      <c r="BR76" s="59">
        <f>+SUM(AR76+AW76+BB76+BG76)/4</f>
        <v>0</v>
      </c>
      <c r="BS76" s="108">
        <f t="shared" si="10"/>
        <v>1</v>
      </c>
    </row>
    <row r="77" spans="1:82" ht="15.75" x14ac:dyDescent="0.25">
      <c r="A77" s="42">
        <v>6</v>
      </c>
      <c r="B77" s="44" t="s">
        <v>343</v>
      </c>
      <c r="C77" s="42" t="s">
        <v>278</v>
      </c>
      <c r="D77" s="42"/>
      <c r="E77" s="56">
        <f>+E36/60</f>
        <v>5.2909999999999995</v>
      </c>
      <c r="F77" s="56">
        <f t="shared" si="9"/>
        <v>4.9639999999999995</v>
      </c>
      <c r="G77" s="56">
        <f t="shared" si="9"/>
        <v>3.8939999999999997</v>
      </c>
      <c r="H77" s="56">
        <f t="shared" si="9"/>
        <v>7.9184999999999999</v>
      </c>
      <c r="I77" s="56">
        <f t="shared" si="9"/>
        <v>5.4446666666666665</v>
      </c>
      <c r="J77" s="56">
        <f t="shared" si="9"/>
        <v>4.9775</v>
      </c>
      <c r="K77" s="56">
        <f t="shared" si="9"/>
        <v>6.5946666666666669</v>
      </c>
      <c r="L77" s="56">
        <f t="shared" si="9"/>
        <v>5.0965000000000007</v>
      </c>
      <c r="M77" s="56">
        <f t="shared" si="9"/>
        <v>9.5990000000000002</v>
      </c>
      <c r="N77" s="56">
        <f t="shared" si="9"/>
        <v>4.4080000000000004</v>
      </c>
      <c r="O77" s="56">
        <f t="shared" si="9"/>
        <v>5.8071666666666664</v>
      </c>
      <c r="P77" s="56">
        <f t="shared" si="9"/>
        <v>6.1476666666666668</v>
      </c>
      <c r="Q77" s="56">
        <f t="shared" si="9"/>
        <v>4.6426666666666669</v>
      </c>
      <c r="R77" s="56">
        <f t="shared" si="9"/>
        <v>6.3883333333333336</v>
      </c>
      <c r="S77" s="56">
        <f t="shared" si="9"/>
        <v>5.2530000000000001</v>
      </c>
      <c r="T77" s="56">
        <f t="shared" si="9"/>
        <v>4.8008333333333333</v>
      </c>
      <c r="U77" s="56">
        <f t="shared" si="9"/>
        <v>4.7361666666666666</v>
      </c>
      <c r="V77" s="56">
        <f t="shared" si="9"/>
        <v>5.3453333333333335</v>
      </c>
      <c r="W77" s="56">
        <f t="shared" si="9"/>
        <v>5.593</v>
      </c>
      <c r="X77" s="56">
        <f t="shared" si="9"/>
        <v>3.6966666666666668</v>
      </c>
      <c r="Y77" s="159">
        <f t="shared" si="11"/>
        <v>110.59866666666667</v>
      </c>
      <c r="Z77" s="159">
        <f t="shared" si="12"/>
        <v>5.529933333333334</v>
      </c>
      <c r="AA77" s="162">
        <v>0.98</v>
      </c>
      <c r="AB77" s="159">
        <f t="shared" si="13"/>
        <v>5.4193346666666669</v>
      </c>
      <c r="AC77" s="159">
        <v>1.1100000000000001</v>
      </c>
      <c r="AD77" s="159">
        <f t="shared" si="14"/>
        <v>6.0154614800000008</v>
      </c>
      <c r="AG77" s="42">
        <v>6</v>
      </c>
      <c r="AH77" s="308" t="s">
        <v>343</v>
      </c>
      <c r="AI77" s="308"/>
      <c r="AJ77" s="308"/>
      <c r="AK77" s="308"/>
      <c r="AL77" s="308"/>
      <c r="AM77" s="308"/>
      <c r="AN77" s="59"/>
      <c r="AO77" s="59"/>
      <c r="AP77" s="59"/>
      <c r="AQ77" s="59"/>
      <c r="AR77" s="106"/>
      <c r="AS77" s="161"/>
      <c r="AT77" s="161"/>
      <c r="AU77" s="161"/>
      <c r="AV77" s="161"/>
      <c r="AW77" s="106"/>
      <c r="AX77" s="63"/>
      <c r="AY77" s="63"/>
      <c r="AZ77" s="63"/>
      <c r="BA77" s="63"/>
      <c r="BB77" s="106"/>
      <c r="BC77" s="111"/>
      <c r="BD77" s="111"/>
      <c r="BE77" s="111"/>
      <c r="BF77" s="111"/>
      <c r="BG77" s="106"/>
      <c r="BH77" s="59"/>
      <c r="BI77" s="59"/>
      <c r="BJ77" s="59"/>
      <c r="BK77" s="59"/>
      <c r="BL77" s="106"/>
      <c r="BM77" s="59">
        <v>0</v>
      </c>
      <c r="BN77" s="59">
        <v>0</v>
      </c>
      <c r="BO77" s="59">
        <v>0</v>
      </c>
      <c r="BP77" s="59">
        <v>-0.02</v>
      </c>
      <c r="BQ77" s="106">
        <f>0+0+0+-0.02</f>
        <v>-0.02</v>
      </c>
      <c r="BR77" s="59">
        <f>+AVERAGE(BQ77:BQ77)</f>
        <v>-0.02</v>
      </c>
      <c r="BS77" s="108">
        <f t="shared" si="10"/>
        <v>0.98</v>
      </c>
    </row>
    <row r="78" spans="1:82" x14ac:dyDescent="0.25">
      <c r="E78" s="46">
        <f>SUM(E72:E77)</f>
        <v>601.11866666666663</v>
      </c>
      <c r="F78" s="46">
        <f t="shared" ref="F78:X78" si="15">SUM(F72:F77)</f>
        <v>590.88100000000009</v>
      </c>
      <c r="G78" s="46">
        <f t="shared" si="15"/>
        <v>582.28199999999993</v>
      </c>
      <c r="H78" s="46">
        <f t="shared" si="15"/>
        <v>579.3986666666666</v>
      </c>
      <c r="I78" s="46">
        <f t="shared" si="15"/>
        <v>564.49716666666666</v>
      </c>
      <c r="J78" s="46">
        <f t="shared" si="15"/>
        <v>571.46166666666659</v>
      </c>
      <c r="K78" s="46">
        <f t="shared" si="15"/>
        <v>556.16083333333324</v>
      </c>
      <c r="L78" s="46">
        <f t="shared" si="15"/>
        <v>547.66766666666661</v>
      </c>
      <c r="M78" s="46">
        <f t="shared" si="15"/>
        <v>548.47716666666668</v>
      </c>
      <c r="N78" s="46">
        <f t="shared" si="15"/>
        <v>537.95833333333337</v>
      </c>
      <c r="O78" s="46">
        <f t="shared" si="15"/>
        <v>524.44083333333344</v>
      </c>
      <c r="P78" s="46">
        <f t="shared" si="15"/>
        <v>505.54433333333338</v>
      </c>
      <c r="Q78" s="46">
        <f t="shared" si="15"/>
        <v>515.09900000000005</v>
      </c>
      <c r="R78" s="46">
        <f t="shared" si="15"/>
        <v>527.08783333333338</v>
      </c>
      <c r="S78" s="46">
        <f t="shared" si="15"/>
        <v>514.76133333333337</v>
      </c>
      <c r="T78" s="46">
        <f t="shared" si="15"/>
        <v>502.33233333333339</v>
      </c>
      <c r="U78" s="46">
        <f t="shared" si="15"/>
        <v>507.03733333333332</v>
      </c>
      <c r="V78" s="46">
        <f t="shared" si="15"/>
        <v>496.01016666666663</v>
      </c>
      <c r="W78" s="46">
        <f t="shared" si="15"/>
        <v>493.13783333333333</v>
      </c>
      <c r="X78" s="46">
        <f t="shared" si="15"/>
        <v>483.27566666666667</v>
      </c>
      <c r="AG78" s="207"/>
      <c r="AH78" s="207"/>
      <c r="AI78" s="207"/>
      <c r="AJ78" s="207"/>
      <c r="AK78" s="207"/>
      <c r="AL78" s="207"/>
      <c r="AM78" s="207"/>
    </row>
    <row r="79" spans="1:82" x14ac:dyDescent="0.25">
      <c r="A79" s="51"/>
      <c r="B79" s="51"/>
      <c r="C79" s="51"/>
      <c r="D79" s="51"/>
      <c r="AB79" s="163"/>
    </row>
    <row r="80" spans="1:82" x14ac:dyDescent="0.25">
      <c r="A80" s="94"/>
      <c r="B80" s="94"/>
      <c r="C80" s="94"/>
      <c r="D80" s="94"/>
    </row>
    <row r="81" spans="1:49" ht="15.75" x14ac:dyDescent="0.25">
      <c r="A81" s="256" t="s">
        <v>229</v>
      </c>
      <c r="B81" s="256"/>
      <c r="C81" s="256"/>
      <c r="D81" s="256"/>
      <c r="E81" s="256"/>
      <c r="F81" s="256"/>
      <c r="G81" s="256"/>
      <c r="H81" s="256"/>
      <c r="I81" s="256"/>
      <c r="J81" s="256"/>
    </row>
    <row r="82" spans="1:49" x14ac:dyDescent="0.25">
      <c r="A82" s="312" t="s">
        <v>263</v>
      </c>
      <c r="B82" s="312"/>
      <c r="C82" s="312"/>
      <c r="D82" s="312"/>
      <c r="E82" s="312"/>
      <c r="F82" s="312"/>
      <c r="G82" s="312"/>
      <c r="H82" s="312"/>
      <c r="I82" s="312"/>
      <c r="J82" s="312"/>
    </row>
    <row r="83" spans="1:49" x14ac:dyDescent="0.25">
      <c r="A83" s="312" t="s">
        <v>358</v>
      </c>
      <c r="B83" s="312"/>
      <c r="C83" s="312"/>
      <c r="D83" s="312"/>
      <c r="E83" s="312"/>
      <c r="F83" s="312"/>
      <c r="G83" s="312"/>
      <c r="H83" s="312"/>
      <c r="I83" s="312"/>
      <c r="J83" s="312"/>
    </row>
    <row r="84" spans="1:49" ht="15.75" x14ac:dyDescent="0.25">
      <c r="A84" s="307" t="s">
        <v>202</v>
      </c>
      <c r="B84" s="307" t="s">
        <v>203</v>
      </c>
      <c r="C84" s="256" t="s">
        <v>232</v>
      </c>
      <c r="D84" s="256"/>
      <c r="E84" s="256" t="s">
        <v>233</v>
      </c>
      <c r="F84" s="256"/>
      <c r="G84" s="256"/>
      <c r="H84" s="256"/>
      <c r="I84" s="256"/>
      <c r="J84" s="299" t="s">
        <v>234</v>
      </c>
    </row>
    <row r="85" spans="1:49" ht="15.75" x14ac:dyDescent="0.25">
      <c r="A85" s="307"/>
      <c r="B85" s="307"/>
      <c r="C85" s="57" t="s">
        <v>235</v>
      </c>
      <c r="D85" s="57" t="s">
        <v>236</v>
      </c>
      <c r="E85" s="57" t="s">
        <v>237</v>
      </c>
      <c r="F85" s="57" t="s">
        <v>238</v>
      </c>
      <c r="G85" s="57" t="s">
        <v>239</v>
      </c>
      <c r="H85" s="57" t="s">
        <v>240</v>
      </c>
      <c r="I85" s="57" t="s">
        <v>241</v>
      </c>
      <c r="J85" s="299"/>
      <c r="AQ85" s="209"/>
      <c r="AR85" s="209"/>
      <c r="AS85" s="209"/>
      <c r="AT85" s="209"/>
      <c r="AU85" s="209"/>
      <c r="AV85" s="209"/>
      <c r="AW85" s="209"/>
    </row>
    <row r="86" spans="1:49" x14ac:dyDescent="0.25">
      <c r="A86" s="42">
        <v>1</v>
      </c>
      <c r="B86" s="42" t="s">
        <v>370</v>
      </c>
      <c r="C86" s="164">
        <v>1</v>
      </c>
      <c r="D86" s="164"/>
      <c r="E86" s="164"/>
      <c r="F86" s="164"/>
      <c r="G86" s="164"/>
      <c r="H86" s="164"/>
      <c r="I86" s="164"/>
      <c r="J86" s="165">
        <f>+AD72</f>
        <v>21.073350000000005</v>
      </c>
      <c r="AQ86" s="51"/>
      <c r="AR86" s="51"/>
      <c r="AS86" s="51"/>
      <c r="AT86" s="51"/>
      <c r="AU86" s="51"/>
      <c r="AV86" s="51"/>
      <c r="AW86" s="51"/>
    </row>
    <row r="87" spans="1:49" x14ac:dyDescent="0.25">
      <c r="A87" s="42">
        <v>2</v>
      </c>
      <c r="B87" s="42" t="s">
        <v>371</v>
      </c>
      <c r="C87" s="164"/>
      <c r="D87" s="164"/>
      <c r="E87" s="164"/>
      <c r="F87" s="164"/>
      <c r="G87" s="164">
        <v>1</v>
      </c>
      <c r="H87" s="164"/>
      <c r="I87" s="164"/>
      <c r="J87" s="165">
        <f t="shared" ref="J87:J91" si="16">+AD73</f>
        <v>3.974050675</v>
      </c>
    </row>
    <row r="88" spans="1:49" x14ac:dyDescent="0.25">
      <c r="A88" s="42">
        <v>3</v>
      </c>
      <c r="B88" s="42" t="s">
        <v>372</v>
      </c>
      <c r="C88" s="164"/>
      <c r="D88" s="164"/>
      <c r="E88" s="164"/>
      <c r="F88" s="164">
        <v>1</v>
      </c>
      <c r="G88" s="164"/>
      <c r="H88" s="164"/>
      <c r="I88" s="164"/>
      <c r="J88" s="165">
        <f t="shared" si="16"/>
        <v>533.15214749999996</v>
      </c>
    </row>
    <row r="89" spans="1:49" x14ac:dyDescent="0.25">
      <c r="A89" s="42">
        <v>4</v>
      </c>
      <c r="B89" s="42" t="s">
        <v>373</v>
      </c>
      <c r="C89" s="164"/>
      <c r="D89" s="164"/>
      <c r="E89" s="164"/>
      <c r="F89" s="164"/>
      <c r="G89" s="164">
        <v>1</v>
      </c>
      <c r="H89" s="164"/>
      <c r="I89" s="164"/>
      <c r="J89" s="165">
        <f t="shared" si="16"/>
        <v>17.216819095000002</v>
      </c>
    </row>
    <row r="90" spans="1:49" x14ac:dyDescent="0.25">
      <c r="A90" s="42">
        <v>5</v>
      </c>
      <c r="B90" s="42" t="s">
        <v>374</v>
      </c>
      <c r="C90" s="164">
        <v>1</v>
      </c>
      <c r="D90" s="164"/>
      <c r="E90" s="164"/>
      <c r="F90" s="164"/>
      <c r="G90" s="164"/>
      <c r="H90" s="164"/>
      <c r="I90" s="164"/>
      <c r="J90" s="165">
        <f t="shared" si="16"/>
        <v>14.561895750000003</v>
      </c>
    </row>
    <row r="91" spans="1:49" x14ac:dyDescent="0.25">
      <c r="A91" s="42">
        <v>6</v>
      </c>
      <c r="B91" s="44" t="s">
        <v>375</v>
      </c>
      <c r="C91" s="164"/>
      <c r="D91" s="164">
        <v>1</v>
      </c>
      <c r="E91" s="164"/>
      <c r="F91" s="164"/>
      <c r="G91" s="164"/>
      <c r="H91" s="164"/>
      <c r="I91" s="164"/>
      <c r="J91" s="165">
        <f t="shared" si="16"/>
        <v>6.0154614800000008</v>
      </c>
    </row>
    <row r="92" spans="1:49" x14ac:dyDescent="0.25">
      <c r="A92" s="42"/>
      <c r="B92" s="42"/>
      <c r="C92" s="164"/>
      <c r="D92" s="164"/>
      <c r="E92" s="164"/>
      <c r="F92" s="164"/>
      <c r="G92" s="164"/>
      <c r="H92" s="164"/>
      <c r="I92" s="164"/>
      <c r="J92" s="164"/>
    </row>
    <row r="93" spans="1:49" x14ac:dyDescent="0.25">
      <c r="A93" s="42"/>
      <c r="B93" s="42"/>
      <c r="C93" s="164"/>
      <c r="D93" s="164"/>
      <c r="E93" s="164"/>
      <c r="F93" s="164"/>
      <c r="G93" s="164"/>
      <c r="H93" s="164"/>
      <c r="I93" s="164"/>
      <c r="J93" s="164"/>
    </row>
    <row r="94" spans="1:49" x14ac:dyDescent="0.25">
      <c r="A94" s="42"/>
      <c r="B94" s="42"/>
      <c r="C94" s="164"/>
      <c r="D94" s="164"/>
      <c r="E94" s="164"/>
      <c r="F94" s="164"/>
      <c r="G94" s="164"/>
      <c r="H94" s="164"/>
      <c r="I94" s="164"/>
      <c r="J94" s="164"/>
    </row>
    <row r="95" spans="1:49" ht="15.75" x14ac:dyDescent="0.25">
      <c r="A95" s="253" t="s">
        <v>149</v>
      </c>
      <c r="B95" s="254"/>
      <c r="C95" s="166">
        <f t="shared" ref="C95:I95" si="17">+SUM(C86:C94)</f>
        <v>2</v>
      </c>
      <c r="D95" s="166">
        <f t="shared" si="17"/>
        <v>1</v>
      </c>
      <c r="E95" s="166">
        <f t="shared" si="17"/>
        <v>0</v>
      </c>
      <c r="F95" s="166">
        <f t="shared" si="17"/>
        <v>1</v>
      </c>
      <c r="G95" s="166">
        <f t="shared" si="17"/>
        <v>2</v>
      </c>
      <c r="H95" s="166">
        <f t="shared" si="17"/>
        <v>0</v>
      </c>
      <c r="I95" s="166">
        <f t="shared" si="17"/>
        <v>0</v>
      </c>
      <c r="J95" s="167">
        <f>+SUM(J86:J94)</f>
        <v>595.99372449999998</v>
      </c>
    </row>
    <row r="96" spans="1:49" x14ac:dyDescent="0.25">
      <c r="A96" s="204"/>
      <c r="B96" s="204"/>
      <c r="C96" s="204"/>
      <c r="D96" s="204"/>
      <c r="E96" s="204"/>
      <c r="F96" s="207"/>
      <c r="G96" s="207"/>
      <c r="H96" s="207"/>
      <c r="I96" s="207"/>
      <c r="J96" s="207"/>
    </row>
    <row r="97" spans="1:10" ht="15.75" x14ac:dyDescent="0.25">
      <c r="A97" s="253" t="s">
        <v>247</v>
      </c>
      <c r="B97" s="254"/>
      <c r="C97" s="66" t="s">
        <v>202</v>
      </c>
      <c r="D97" s="66" t="s">
        <v>234</v>
      </c>
      <c r="E97" s="66" t="s">
        <v>5</v>
      </c>
      <c r="F97" s="361"/>
      <c r="G97" s="361"/>
      <c r="H97" s="361"/>
      <c r="I97" s="361"/>
      <c r="J97" s="361"/>
    </row>
    <row r="98" spans="1:10" x14ac:dyDescent="0.25">
      <c r="A98" s="42" t="s">
        <v>235</v>
      </c>
      <c r="B98" s="42" t="s">
        <v>248</v>
      </c>
      <c r="C98" s="67">
        <f>+C95</f>
        <v>2</v>
      </c>
      <c r="D98" s="68">
        <f>J86+J90</f>
        <v>35.63524575000001</v>
      </c>
      <c r="E98" s="69">
        <f>+(D98/$D$105)</f>
        <v>5.9791310352966677E-2</v>
      </c>
      <c r="F98" s="361"/>
      <c r="G98" s="361"/>
      <c r="H98" s="361"/>
      <c r="I98" s="361"/>
      <c r="J98" s="361"/>
    </row>
    <row r="99" spans="1:10" x14ac:dyDescent="0.25">
      <c r="A99" s="42" t="s">
        <v>249</v>
      </c>
      <c r="B99" s="42" t="s">
        <v>250</v>
      </c>
      <c r="C99" s="67">
        <f>+D95</f>
        <v>1</v>
      </c>
      <c r="D99" s="68">
        <f>J91</f>
        <v>6.0154614800000008</v>
      </c>
      <c r="E99" s="69">
        <f t="shared" ref="E99:E104" si="18">+(D99/$D$105)</f>
        <v>1.0093162449061999E-2</v>
      </c>
      <c r="F99" s="361"/>
      <c r="G99" s="361"/>
      <c r="H99" s="361"/>
      <c r="I99" s="361"/>
      <c r="J99" s="361"/>
    </row>
    <row r="100" spans="1:10" x14ac:dyDescent="0.25">
      <c r="A100" s="42" t="s">
        <v>237</v>
      </c>
      <c r="B100" s="42" t="s">
        <v>251</v>
      </c>
      <c r="C100" s="67">
        <f>+E95</f>
        <v>0</v>
      </c>
      <c r="D100" s="68">
        <v>0</v>
      </c>
      <c r="E100" s="69">
        <f t="shared" si="18"/>
        <v>0</v>
      </c>
      <c r="F100" s="361"/>
      <c r="G100" s="361"/>
      <c r="H100" s="361"/>
      <c r="I100" s="361"/>
      <c r="J100" s="361"/>
    </row>
    <row r="101" spans="1:10" x14ac:dyDescent="0.25">
      <c r="A101" s="42" t="s">
        <v>238</v>
      </c>
      <c r="B101" s="42" t="s">
        <v>252</v>
      </c>
      <c r="C101" s="67">
        <f>+F95</f>
        <v>1</v>
      </c>
      <c r="D101" s="68">
        <f>J88</f>
        <v>533.15214749999996</v>
      </c>
      <c r="E101" s="69">
        <f t="shared" si="18"/>
        <v>0.89456000220015752</v>
      </c>
      <c r="F101" s="361"/>
      <c r="G101" s="361"/>
      <c r="H101" s="361"/>
      <c r="I101" s="361"/>
      <c r="J101" s="361"/>
    </row>
    <row r="102" spans="1:10" x14ac:dyDescent="0.25">
      <c r="A102" s="42" t="s">
        <v>239</v>
      </c>
      <c r="B102" s="42" t="s">
        <v>253</v>
      </c>
      <c r="C102" s="67">
        <f>+G95</f>
        <v>2</v>
      </c>
      <c r="D102" s="68">
        <f>J87+J89</f>
        <v>21.190869770000003</v>
      </c>
      <c r="E102" s="69">
        <f t="shared" si="18"/>
        <v>3.5555524997813975E-2</v>
      </c>
      <c r="F102" s="361"/>
      <c r="G102" s="361"/>
      <c r="H102" s="361"/>
      <c r="I102" s="361"/>
      <c r="J102" s="361"/>
    </row>
    <row r="103" spans="1:10" x14ac:dyDescent="0.25">
      <c r="A103" s="42" t="s">
        <v>240</v>
      </c>
      <c r="B103" s="42" t="s">
        <v>254</v>
      </c>
      <c r="C103" s="67">
        <f>+H95</f>
        <v>0</v>
      </c>
      <c r="D103" s="68">
        <v>0</v>
      </c>
      <c r="E103" s="69">
        <f t="shared" si="18"/>
        <v>0</v>
      </c>
      <c r="F103" s="361"/>
      <c r="G103" s="361"/>
      <c r="H103" s="361"/>
      <c r="I103" s="361"/>
      <c r="J103" s="361"/>
    </row>
    <row r="104" spans="1:10" x14ac:dyDescent="0.25">
      <c r="A104" s="42" t="s">
        <v>241</v>
      </c>
      <c r="B104" s="42" t="s">
        <v>255</v>
      </c>
      <c r="C104" s="67">
        <f>+I95</f>
        <v>0</v>
      </c>
      <c r="D104" s="68">
        <v>0</v>
      </c>
      <c r="E104" s="69">
        <f t="shared" si="18"/>
        <v>0</v>
      </c>
      <c r="F104" s="361"/>
      <c r="G104" s="361"/>
      <c r="H104" s="361"/>
      <c r="I104" s="361"/>
      <c r="J104" s="361"/>
    </row>
    <row r="105" spans="1:10" ht="15.75" x14ac:dyDescent="0.25">
      <c r="A105" s="70" t="s">
        <v>256</v>
      </c>
      <c r="B105" s="70" t="s">
        <v>149</v>
      </c>
      <c r="C105" s="71">
        <f>+SUM(C98:C104)</f>
        <v>6</v>
      </c>
      <c r="D105" s="72">
        <f>+SUM(D98:D104)</f>
        <v>595.99372449999987</v>
      </c>
      <c r="E105" s="114">
        <f>+SUM(E98:E104)</f>
        <v>1.0000000000000002</v>
      </c>
      <c r="F105" s="361"/>
      <c r="G105" s="361"/>
      <c r="H105" s="361"/>
      <c r="I105" s="361"/>
      <c r="J105" s="361"/>
    </row>
    <row r="106" spans="1:10" ht="15.75" x14ac:dyDescent="0.25">
      <c r="A106" s="74" t="s">
        <v>257</v>
      </c>
      <c r="B106" s="255"/>
      <c r="C106" s="255"/>
      <c r="D106" s="75">
        <f>+D98+D99</f>
        <v>41.650707230000009</v>
      </c>
      <c r="E106" s="206"/>
      <c r="F106" s="361"/>
      <c r="G106" s="361"/>
      <c r="H106" s="361"/>
      <c r="I106" s="361"/>
      <c r="J106" s="361"/>
    </row>
    <row r="107" spans="1:10" ht="15.75" x14ac:dyDescent="0.25">
      <c r="A107" s="76" t="s">
        <v>258</v>
      </c>
      <c r="B107" s="255"/>
      <c r="C107" s="255"/>
      <c r="D107" s="77">
        <f>+(D106/D105)</f>
        <v>6.9884472802028669E-2</v>
      </c>
      <c r="E107" s="208"/>
      <c r="F107" s="361"/>
      <c r="G107" s="361"/>
      <c r="H107" s="361"/>
      <c r="I107" s="361"/>
      <c r="J107" s="361"/>
    </row>
  </sheetData>
  <mergeCells count="116">
    <mergeCell ref="AQ85:AW85"/>
    <mergeCell ref="A95:B95"/>
    <mergeCell ref="A96:E96"/>
    <mergeCell ref="F96:J107"/>
    <mergeCell ref="A97:B97"/>
    <mergeCell ref="B106:C106"/>
    <mergeCell ref="E106:E107"/>
    <mergeCell ref="B107:C107"/>
    <mergeCell ref="AH77:AM77"/>
    <mergeCell ref="AG78:AM78"/>
    <mergeCell ref="A81:J81"/>
    <mergeCell ref="A82:J82"/>
    <mergeCell ref="A83:J83"/>
    <mergeCell ref="A84:A85"/>
    <mergeCell ref="B84:B85"/>
    <mergeCell ref="C84:D84"/>
    <mergeCell ref="E84:I84"/>
    <mergeCell ref="J84:J85"/>
    <mergeCell ref="BQ70:BQ71"/>
    <mergeCell ref="AH72:AM72"/>
    <mergeCell ref="AH73:AM73"/>
    <mergeCell ref="AH74:AM74"/>
    <mergeCell ref="AH75:AM75"/>
    <mergeCell ref="AH76:AM76"/>
    <mergeCell ref="BK70:BK71"/>
    <mergeCell ref="BL70:BL71"/>
    <mergeCell ref="BM70:BM71"/>
    <mergeCell ref="BN70:BN71"/>
    <mergeCell ref="BO70:BO71"/>
    <mergeCell ref="BP70:BP71"/>
    <mergeCell ref="BE70:BE71"/>
    <mergeCell ref="BF70:BF71"/>
    <mergeCell ref="BG70:BG71"/>
    <mergeCell ref="BH70:BH71"/>
    <mergeCell ref="BI70:BI71"/>
    <mergeCell ref="BJ70:BJ71"/>
    <mergeCell ref="AU70:AU71"/>
    <mergeCell ref="AV70:AV71"/>
    <mergeCell ref="AW70:AW71"/>
    <mergeCell ref="AX70:AX71"/>
    <mergeCell ref="AY70:AY71"/>
    <mergeCell ref="AZ70:AZ71"/>
    <mergeCell ref="BC69:BG69"/>
    <mergeCell ref="BH69:BL69"/>
    <mergeCell ref="AO70:AO71"/>
    <mergeCell ref="AP70:AP71"/>
    <mergeCell ref="AQ70:AQ71"/>
    <mergeCell ref="AR70:AR71"/>
    <mergeCell ref="AS70:AS71"/>
    <mergeCell ref="AT70:AT71"/>
    <mergeCell ref="Z70:Z71"/>
    <mergeCell ref="AA70:AA71"/>
    <mergeCell ref="AB70:AB71"/>
    <mergeCell ref="AC70:AC71"/>
    <mergeCell ref="AD70:AD71"/>
    <mergeCell ref="AN70:AN71"/>
    <mergeCell ref="BM69:BQ69"/>
    <mergeCell ref="BR69:BR71"/>
    <mergeCell ref="BS69:BS71"/>
    <mergeCell ref="BA70:BA71"/>
    <mergeCell ref="BB70:BB71"/>
    <mergeCell ref="BC70:BC71"/>
    <mergeCell ref="BD70:BD71"/>
    <mergeCell ref="A66:H69"/>
    <mergeCell ref="I66:R69"/>
    <mergeCell ref="S66:AD69"/>
    <mergeCell ref="AG66:BS66"/>
    <mergeCell ref="AG67:BS67"/>
    <mergeCell ref="AG68:BS68"/>
    <mergeCell ref="AG69:AG71"/>
    <mergeCell ref="AH69:AM71"/>
    <mergeCell ref="AN69:AR69"/>
    <mergeCell ref="AS69:AW69"/>
    <mergeCell ref="A70:A71"/>
    <mergeCell ref="B70:B71"/>
    <mergeCell ref="C70:C71"/>
    <mergeCell ref="D70:D71"/>
    <mergeCell ref="E70:X70"/>
    <mergeCell ref="Y70:Y71"/>
    <mergeCell ref="AX69:BB69"/>
    <mergeCell ref="A62:H63"/>
    <mergeCell ref="I62:R63"/>
    <mergeCell ref="S62:AD63"/>
    <mergeCell ref="A64:H65"/>
    <mergeCell ref="I64:R65"/>
    <mergeCell ref="S64:AD65"/>
    <mergeCell ref="AE11:AE23"/>
    <mergeCell ref="AG11:AG23"/>
    <mergeCell ref="A60:H61"/>
    <mergeCell ref="I60:R61"/>
    <mergeCell ref="S60:AD61"/>
    <mergeCell ref="AG61:AM61"/>
    <mergeCell ref="AC9:AC10"/>
    <mergeCell ref="AE9:AE10"/>
    <mergeCell ref="AF9:AF10"/>
    <mergeCell ref="AG9:AG10"/>
    <mergeCell ref="AH9:AH10"/>
    <mergeCell ref="AI9:AJ10"/>
    <mergeCell ref="A9:A10"/>
    <mergeCell ref="B9:B10"/>
    <mergeCell ref="C9:C10"/>
    <mergeCell ref="D9:D10"/>
    <mergeCell ref="E9:X9"/>
    <mergeCell ref="Y9:Y10"/>
    <mergeCell ref="A5:P6"/>
    <mergeCell ref="Q5:Y6"/>
    <mergeCell ref="AC5:AI6"/>
    <mergeCell ref="A7:P8"/>
    <mergeCell ref="Q7:Y8"/>
    <mergeCell ref="AC7:AI8"/>
    <mergeCell ref="A1:P2"/>
    <mergeCell ref="Q1:Y2"/>
    <mergeCell ref="AC1:AI2"/>
    <mergeCell ref="A3:P4"/>
    <mergeCell ref="Q3:Y4"/>
    <mergeCell ref="AC3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SISTEMA_INDICADORES</vt:lpstr>
      <vt:lpstr>MATRIZ_PRIORIZACION</vt:lpstr>
      <vt:lpstr>EST_TIEMPOS_VTAS</vt:lpstr>
      <vt:lpstr>EST_TIEMPOS_RECUB</vt:lpstr>
      <vt:lpstr>EST_TIEMPOS_BEMA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Alvarez</dc:creator>
  <cp:lastModifiedBy>Jonathan Alvarez</cp:lastModifiedBy>
  <dcterms:created xsi:type="dcterms:W3CDTF">2015-05-29T18:19:45Z</dcterms:created>
  <dcterms:modified xsi:type="dcterms:W3CDTF">2015-10-05T17:56:34Z</dcterms:modified>
</cp:coreProperties>
</file>