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DAAC\Dropbox\TESIS\A ENTREGAR\"/>
    </mc:Choice>
  </mc:AlternateContent>
  <xr:revisionPtr revIDLastSave="0" documentId="13_ncr:1_{3D007B2C-7F0B-42CF-A20A-CF75FF628F76}" xr6:coauthVersionLast="41" xr6:coauthVersionMax="41" xr10:uidLastSave="{00000000-0000-0000-0000-000000000000}"/>
  <bookViews>
    <workbookView xWindow="-120" yWindow="-120" windowWidth="20730" windowHeight="11760" xr2:uid="{F597D640-4017-478A-A0D7-9545299D2050}"/>
  </bookViews>
  <sheets>
    <sheet name="A1 clasificacion" sheetId="1" r:id="rId1"/>
    <sheet name="Anexos Cuchara" sheetId="2" r:id="rId2"/>
    <sheet name="Anexos Cono" sheetId="3" r:id="rId3"/>
  </sheets>
  <externalReferences>
    <externalReference r:id="rId4"/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0" i="3" l="1"/>
  <c r="L231" i="3"/>
  <c r="O42" i="2" l="1"/>
  <c r="O41" i="2"/>
  <c r="P92" i="1" l="1"/>
  <c r="K92" i="1"/>
  <c r="F92" i="1"/>
  <c r="P91" i="1"/>
  <c r="K91" i="1"/>
  <c r="F91" i="1"/>
  <c r="R231" i="3"/>
  <c r="R230" i="3"/>
  <c r="AM185" i="3"/>
  <c r="AM184" i="3"/>
  <c r="AG185" i="3"/>
  <c r="AG184" i="3"/>
  <c r="AN139" i="3"/>
  <c r="AN138" i="3"/>
  <c r="AG139" i="3"/>
  <c r="AG138" i="3"/>
  <c r="AG94" i="3"/>
  <c r="AG93" i="3"/>
  <c r="AN94" i="3"/>
  <c r="AN93" i="3"/>
  <c r="AP47" i="3"/>
  <c r="AP46" i="3"/>
  <c r="AI47" i="3"/>
  <c r="AI46" i="3"/>
  <c r="E369" i="3"/>
  <c r="E368" i="3"/>
  <c r="L318" i="3"/>
  <c r="L317" i="3"/>
  <c r="L277" i="3"/>
  <c r="L276" i="3"/>
  <c r="M234" i="3"/>
  <c r="M233" i="3"/>
  <c r="Z185" i="3"/>
  <c r="Z184" i="3"/>
  <c r="Z139" i="3" l="1"/>
  <c r="Z138" i="3"/>
  <c r="G106" i="3"/>
  <c r="AA94" i="3"/>
  <c r="AA93" i="3"/>
  <c r="AB47" i="3"/>
  <c r="AB46" i="3"/>
  <c r="G345" i="3"/>
  <c r="G342" i="3"/>
  <c r="G339" i="3"/>
  <c r="G336" i="3"/>
  <c r="G299" i="3"/>
  <c r="G296" i="3"/>
  <c r="G293" i="3"/>
  <c r="G290" i="3"/>
  <c r="G253" i="3"/>
  <c r="G250" i="3"/>
  <c r="G247" i="3"/>
  <c r="G244" i="3"/>
  <c r="G207" i="3"/>
  <c r="G204" i="3"/>
  <c r="G201" i="3"/>
  <c r="G198" i="3"/>
  <c r="N207" i="3"/>
  <c r="N204" i="3"/>
  <c r="N201" i="3"/>
  <c r="N198" i="3"/>
  <c r="U207" i="3"/>
  <c r="U204" i="3"/>
  <c r="U201" i="3"/>
  <c r="U198" i="3"/>
  <c r="U161" i="3"/>
  <c r="U158" i="3"/>
  <c r="U155" i="3"/>
  <c r="U152" i="3"/>
  <c r="N161" i="3"/>
  <c r="N158" i="3"/>
  <c r="N155" i="3"/>
  <c r="N152" i="3"/>
  <c r="G161" i="3"/>
  <c r="G158" i="3"/>
  <c r="G155" i="3"/>
  <c r="G152" i="3"/>
  <c r="G115" i="3"/>
  <c r="G112" i="3"/>
  <c r="G109" i="3"/>
  <c r="N115" i="3"/>
  <c r="N112" i="3"/>
  <c r="N109" i="3"/>
  <c r="N106" i="3"/>
  <c r="U115" i="3"/>
  <c r="U112" i="3"/>
  <c r="U109" i="3"/>
  <c r="U106" i="3"/>
  <c r="U69" i="3"/>
  <c r="U66" i="3"/>
  <c r="U63" i="3"/>
  <c r="U60" i="3"/>
  <c r="N69" i="3"/>
  <c r="N66" i="3"/>
  <c r="N63" i="3"/>
  <c r="N60" i="3"/>
  <c r="U23" i="3"/>
  <c r="U20" i="3"/>
  <c r="U17" i="3"/>
  <c r="U14" i="3"/>
  <c r="N23" i="3"/>
  <c r="N20" i="3"/>
  <c r="N17" i="3"/>
  <c r="N14" i="3"/>
  <c r="G69" i="3"/>
  <c r="G66" i="3"/>
  <c r="G63" i="3"/>
  <c r="G60" i="3"/>
  <c r="G17" i="3"/>
  <c r="G20" i="3"/>
  <c r="G23" i="3"/>
  <c r="G14" i="3"/>
  <c r="O218" i="2"/>
  <c r="O217" i="2"/>
  <c r="O174" i="2"/>
  <c r="O173" i="2"/>
  <c r="O130" i="2"/>
  <c r="O129" i="2"/>
  <c r="O86" i="2"/>
  <c r="O85" i="2"/>
  <c r="R192" i="2"/>
  <c r="R193" i="2"/>
  <c r="R191" i="2"/>
  <c r="R148" i="2"/>
  <c r="R149" i="2"/>
  <c r="R147" i="2"/>
  <c r="R104" i="2"/>
  <c r="R105" i="2"/>
  <c r="R103" i="2"/>
  <c r="E350" i="2"/>
  <c r="E349" i="2"/>
  <c r="E306" i="2"/>
  <c r="E305" i="2"/>
  <c r="E262" i="2"/>
  <c r="E261" i="2"/>
  <c r="E218" i="2"/>
  <c r="E217" i="2"/>
  <c r="E174" i="2"/>
  <c r="E173" i="2"/>
  <c r="E130" i="2"/>
  <c r="E129" i="2"/>
  <c r="D86" i="2"/>
  <c r="D85" i="2"/>
  <c r="C42" i="2"/>
  <c r="C41" i="2"/>
  <c r="F324" i="2"/>
  <c r="F325" i="2"/>
  <c r="F323" i="2"/>
  <c r="F280" i="2"/>
  <c r="F281" i="2"/>
  <c r="F279" i="2"/>
  <c r="F236" i="2"/>
  <c r="F237" i="2"/>
  <c r="F235" i="2"/>
  <c r="F192" i="2"/>
  <c r="F193" i="2"/>
  <c r="F191" i="2"/>
  <c r="F148" i="2"/>
  <c r="F149" i="2"/>
  <c r="F147" i="2"/>
  <c r="F104" i="2"/>
  <c r="F105" i="2"/>
  <c r="F103" i="2"/>
  <c r="F60" i="2"/>
  <c r="F61" i="2"/>
  <c r="F59" i="2"/>
  <c r="F16" i="2"/>
  <c r="F17" i="2"/>
  <c r="F15" i="2"/>
  <c r="K218" i="2"/>
  <c r="K217" i="2"/>
  <c r="L192" i="2"/>
  <c r="L193" i="2"/>
  <c r="L191" i="2"/>
  <c r="K174" i="2"/>
  <c r="K173" i="2"/>
  <c r="K130" i="2"/>
  <c r="K129" i="2"/>
  <c r="L148" i="2"/>
  <c r="L149" i="2"/>
  <c r="L147" i="2"/>
  <c r="L104" i="2"/>
  <c r="L105" i="2"/>
  <c r="L103" i="2"/>
  <c r="K86" i="2"/>
  <c r="K85" i="2"/>
  <c r="L60" i="2"/>
  <c r="L61" i="2"/>
  <c r="L59" i="2"/>
  <c r="K42" i="2"/>
  <c r="K41" i="2"/>
  <c r="L16" i="2"/>
  <c r="L17" i="2"/>
  <c r="L15" i="2"/>
  <c r="J207" i="3" l="1"/>
  <c r="J204" i="3"/>
  <c r="J201" i="3"/>
  <c r="J198" i="3"/>
  <c r="J63" i="3"/>
  <c r="J66" i="3"/>
  <c r="J69" i="3"/>
  <c r="J60" i="3"/>
  <c r="C345" i="3"/>
  <c r="C342" i="3"/>
  <c r="C339" i="3"/>
  <c r="C336" i="3"/>
  <c r="E348" i="2"/>
  <c r="E304" i="2"/>
  <c r="Q207" i="3" l="1"/>
  <c r="Q204" i="3"/>
  <c r="Q201" i="3"/>
  <c r="Q198" i="3"/>
  <c r="Q161" i="3"/>
  <c r="Q158" i="3"/>
  <c r="Q155" i="3"/>
  <c r="Q152" i="3"/>
  <c r="Q115" i="3"/>
  <c r="Q112" i="3"/>
  <c r="Q109" i="3"/>
  <c r="Q106" i="3"/>
  <c r="Q69" i="3"/>
  <c r="Q66" i="3"/>
  <c r="Q63" i="3"/>
  <c r="Q60" i="3"/>
  <c r="Q23" i="3"/>
  <c r="Q20" i="3"/>
  <c r="Q17" i="3"/>
  <c r="Q14" i="3"/>
  <c r="J161" i="3"/>
  <c r="J158" i="3"/>
  <c r="J155" i="3"/>
  <c r="J152" i="3"/>
  <c r="J115" i="3"/>
  <c r="J112" i="3"/>
  <c r="J109" i="3"/>
  <c r="J106" i="3"/>
  <c r="J23" i="3"/>
  <c r="J20" i="3"/>
  <c r="J17" i="3"/>
  <c r="J14" i="3"/>
  <c r="C299" i="3"/>
  <c r="C296" i="3"/>
  <c r="C293" i="3"/>
  <c r="C290" i="3"/>
  <c r="C253" i="3"/>
  <c r="C250" i="3"/>
  <c r="C247" i="3"/>
  <c r="C244" i="3"/>
  <c r="C207" i="3"/>
  <c r="C204" i="3"/>
  <c r="C201" i="3"/>
  <c r="C198" i="3"/>
  <c r="C161" i="3"/>
  <c r="C158" i="3"/>
  <c r="C155" i="3"/>
  <c r="C152" i="3"/>
  <c r="C115" i="3"/>
  <c r="C112" i="3"/>
  <c r="C109" i="3"/>
  <c r="C106" i="3"/>
  <c r="C69" i="3"/>
  <c r="C66" i="3"/>
  <c r="C63" i="3"/>
  <c r="C60" i="3"/>
  <c r="C17" i="3"/>
  <c r="C20" i="3"/>
  <c r="C23" i="3"/>
  <c r="C14" i="3"/>
  <c r="O60" i="1" l="1"/>
  <c r="P80" i="1"/>
  <c r="P79" i="1"/>
  <c r="P15" i="1"/>
  <c r="P16" i="1" s="1"/>
  <c r="P17" i="1" s="1"/>
  <c r="P18" i="1" s="1"/>
  <c r="P19" i="1" s="1"/>
  <c r="P20" i="1" s="1"/>
  <c r="P21" i="1" s="1"/>
  <c r="P22" i="1" s="1"/>
  <c r="P24" i="1" s="1"/>
  <c r="P25" i="1" s="1"/>
  <c r="Q25" i="1" s="1"/>
  <c r="R25" i="1" s="1"/>
  <c r="J80" i="1"/>
  <c r="J79" i="1"/>
  <c r="I60" i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K25" i="1" s="1"/>
  <c r="D80" i="1"/>
  <c r="D79" i="1"/>
  <c r="C60" i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E25" i="1" s="1"/>
  <c r="K24" i="1" l="1"/>
  <c r="L24" i="1" s="1"/>
  <c r="Q24" i="1"/>
  <c r="R24" i="1" s="1"/>
  <c r="F25" i="1"/>
  <c r="P26" i="1"/>
  <c r="Q26" i="1" s="1"/>
  <c r="R26" i="1" s="1"/>
  <c r="J26" i="1"/>
  <c r="K26" i="1" s="1"/>
  <c r="L25" i="1"/>
  <c r="D26" i="1"/>
  <c r="E26" i="1" s="1"/>
  <c r="P27" i="1" l="1"/>
  <c r="Q27" i="1" s="1"/>
  <c r="R27" i="1" s="1"/>
  <c r="J27" i="1"/>
  <c r="K27" i="1" s="1"/>
  <c r="L26" i="1"/>
  <c r="D27" i="1"/>
  <c r="E27" i="1" s="1"/>
  <c r="F26" i="1"/>
  <c r="P28" i="1" l="1"/>
  <c r="Q28" i="1" s="1"/>
  <c r="J28" i="1"/>
  <c r="K28" i="1" s="1"/>
  <c r="L27" i="1"/>
  <c r="D28" i="1"/>
  <c r="E28" i="1" s="1"/>
  <c r="F27" i="1"/>
</calcChain>
</file>

<file path=xl/sharedStrings.xml><?xml version="1.0" encoding="utf-8"?>
<sst xmlns="http://schemas.openxmlformats.org/spreadsheetml/2006/main" count="895" uniqueCount="151">
  <si>
    <t>Laboratorio de Geotecnia y Materiales de la Universidad de Cuenca.</t>
  </si>
  <si>
    <t xml:space="preserve">Normas: </t>
  </si>
  <si>
    <t>ASTM D422-63</t>
  </si>
  <si>
    <t>Tamiz</t>
  </si>
  <si>
    <t>Pulgadas</t>
  </si>
  <si>
    <t>mm</t>
  </si>
  <si>
    <t>3"</t>
  </si>
  <si>
    <t>2"</t>
  </si>
  <si>
    <t>1"</t>
  </si>
  <si>
    <t>1 1/2"</t>
  </si>
  <si>
    <t>2 1/2"</t>
  </si>
  <si>
    <t>3/4"</t>
  </si>
  <si>
    <t>1/2"</t>
  </si>
  <si>
    <t>3/8"</t>
  </si>
  <si>
    <r>
      <t>N</t>
    </r>
    <r>
      <rPr>
        <sz val="11"/>
        <color theme="1"/>
        <rFont val="Calibri"/>
        <family val="2"/>
      </rPr>
      <t>° 4</t>
    </r>
  </si>
  <si>
    <r>
      <t>&lt;N</t>
    </r>
    <r>
      <rPr>
        <sz val="11"/>
        <color theme="1"/>
        <rFont val="Calibri"/>
        <family val="2"/>
      </rPr>
      <t>° 4</t>
    </r>
  </si>
  <si>
    <r>
      <t>N</t>
    </r>
    <r>
      <rPr>
        <sz val="11"/>
        <color theme="1"/>
        <rFont val="Calibri"/>
        <family val="2"/>
      </rPr>
      <t>° 10</t>
    </r>
  </si>
  <si>
    <r>
      <t>N</t>
    </r>
    <r>
      <rPr>
        <sz val="11"/>
        <color theme="1"/>
        <rFont val="Calibri"/>
        <family val="2"/>
      </rPr>
      <t>° 40</t>
    </r>
  </si>
  <si>
    <r>
      <t>N</t>
    </r>
    <r>
      <rPr>
        <sz val="11"/>
        <color theme="1"/>
        <rFont val="Calibri"/>
        <family val="2"/>
      </rPr>
      <t>° 200</t>
    </r>
  </si>
  <si>
    <r>
      <t>&lt; N</t>
    </r>
    <r>
      <rPr>
        <sz val="11"/>
        <color theme="1"/>
        <rFont val="Calibri"/>
        <family val="2"/>
      </rPr>
      <t>° 200</t>
    </r>
  </si>
  <si>
    <t>&lt;0.075</t>
  </si>
  <si>
    <t>Peso retenido parcial (g)</t>
  </si>
  <si>
    <t>Peso retenido acumulado (g)</t>
  </si>
  <si>
    <t xml:space="preserve">% Retenido acumulado </t>
  </si>
  <si>
    <t>% Acumulado que pasa</t>
  </si>
  <si>
    <t>Procedencia suelo</t>
  </si>
  <si>
    <t>Anexo: A1</t>
  </si>
  <si>
    <t>Tara</t>
  </si>
  <si>
    <t>Num. golpes</t>
  </si>
  <si>
    <t>Peso suelo húmedo + tara</t>
  </si>
  <si>
    <t>Peso suelo seco + tara</t>
  </si>
  <si>
    <t>Peso tara</t>
  </si>
  <si>
    <t>% humedad</t>
  </si>
  <si>
    <t>C8</t>
  </si>
  <si>
    <t>A5</t>
  </si>
  <si>
    <t>C9</t>
  </si>
  <si>
    <t>-</t>
  </si>
  <si>
    <t>A4</t>
  </si>
  <si>
    <t>A8</t>
  </si>
  <si>
    <t>Promedio humedad</t>
  </si>
  <si>
    <t>Recta A con LL</t>
  </si>
  <si>
    <t>Clasificación</t>
  </si>
  <si>
    <t>Peso muestra (g)</t>
  </si>
  <si>
    <t>Peso despues lavado (g)</t>
  </si>
  <si>
    <t>Profundidad (m)</t>
  </si>
  <si>
    <t>% Grava</t>
  </si>
  <si>
    <t>% Arena</t>
  </si>
  <si>
    <t>% Finos</t>
  </si>
  <si>
    <t>Clasificación SUCS</t>
  </si>
  <si>
    <t>CL</t>
  </si>
  <si>
    <t>Arcillas de baja plasticidad</t>
  </si>
  <si>
    <t>Anexo: A2</t>
  </si>
  <si>
    <t>Megaparque Ecológico</t>
  </si>
  <si>
    <t>1.5-2.0</t>
  </si>
  <si>
    <t>Megaparque de la Luz</t>
  </si>
  <si>
    <t>1.0-1.5</t>
  </si>
  <si>
    <t>Paso elevado Universidad Catolica de Cuenca</t>
  </si>
  <si>
    <t>Anexo: A3</t>
  </si>
  <si>
    <t>CH</t>
  </si>
  <si>
    <t>Arcillas de alta plasticidad</t>
  </si>
  <si>
    <t>C4</t>
  </si>
  <si>
    <t>C2</t>
  </si>
  <si>
    <t>C6</t>
  </si>
  <si>
    <t>A3</t>
  </si>
  <si>
    <t>A1</t>
  </si>
  <si>
    <t>D9</t>
  </si>
  <si>
    <t>B8</t>
  </si>
  <si>
    <t>B7</t>
  </si>
  <si>
    <t>C3</t>
  </si>
  <si>
    <t>A6</t>
  </si>
  <si>
    <t>C5</t>
  </si>
  <si>
    <t>A2</t>
  </si>
  <si>
    <t>Anexo: B1</t>
  </si>
  <si>
    <t>Anexo: B2</t>
  </si>
  <si>
    <t>Peso tara (g)</t>
  </si>
  <si>
    <t>Peso suelo húmedo + tara (g)</t>
  </si>
  <si>
    <t>Peso suelo seco + tara (g)</t>
  </si>
  <si>
    <t>Anexo: B3</t>
  </si>
  <si>
    <t>Anexo: B4</t>
  </si>
  <si>
    <t>Anexo: B5</t>
  </si>
  <si>
    <t>Anexo: B6</t>
  </si>
  <si>
    <t>Anexo: B7</t>
  </si>
  <si>
    <t>Anexo: B8</t>
  </si>
  <si>
    <t>B1</t>
  </si>
  <si>
    <t>B2</t>
  </si>
  <si>
    <t>B3</t>
  </si>
  <si>
    <t>B4</t>
  </si>
  <si>
    <t>B5</t>
  </si>
  <si>
    <t>B6</t>
  </si>
  <si>
    <t>A7</t>
  </si>
  <si>
    <t>A9</t>
  </si>
  <si>
    <t>B9</t>
  </si>
  <si>
    <t>Anexo: C1</t>
  </si>
  <si>
    <t>Anexo: C2</t>
  </si>
  <si>
    <t>Anexo: C3</t>
  </si>
  <si>
    <t>Anexo: C4</t>
  </si>
  <si>
    <t>Anexo: D1</t>
  </si>
  <si>
    <t>Anexo: D2</t>
  </si>
  <si>
    <t>Anexo: D3</t>
  </si>
  <si>
    <t>Anexo: D4</t>
  </si>
  <si>
    <t>Anexo: D5</t>
  </si>
  <si>
    <t>Anexo: E1</t>
  </si>
  <si>
    <t>E1</t>
  </si>
  <si>
    <t>E2</t>
  </si>
  <si>
    <t>E3</t>
  </si>
  <si>
    <t>E4</t>
  </si>
  <si>
    <t>E5</t>
  </si>
  <si>
    <t>E6</t>
  </si>
  <si>
    <t>Penetración</t>
  </si>
  <si>
    <t>Anexo: E2</t>
  </si>
  <si>
    <t>Anexo: E3</t>
  </si>
  <si>
    <t>Anexo: E4</t>
  </si>
  <si>
    <t>Anexo: E5</t>
  </si>
  <si>
    <t>Anexo: E6</t>
  </si>
  <si>
    <t>Anexo: E7</t>
  </si>
  <si>
    <t>Anexo: F1</t>
  </si>
  <si>
    <t>D1</t>
  </si>
  <si>
    <t>D5</t>
  </si>
  <si>
    <t>D2</t>
  </si>
  <si>
    <t>D6</t>
  </si>
  <si>
    <t>D3</t>
  </si>
  <si>
    <t>D7</t>
  </si>
  <si>
    <t>D4</t>
  </si>
  <si>
    <t>D8</t>
  </si>
  <si>
    <t>Anexo: F2</t>
  </si>
  <si>
    <t>Anexo: F3</t>
  </si>
  <si>
    <t>Anexo: F4</t>
  </si>
  <si>
    <t>Anexo: G1</t>
  </si>
  <si>
    <t>Anexo: G2</t>
  </si>
  <si>
    <t>Anexo: G3</t>
  </si>
  <si>
    <t>Anexo: G4</t>
  </si>
  <si>
    <t>Anexo: C5</t>
  </si>
  <si>
    <t>Ensayo de Límite Líquido</t>
  </si>
  <si>
    <t>ASTM D4318-00</t>
  </si>
  <si>
    <t>Ensayo Límite Líquido</t>
  </si>
  <si>
    <t>Ensayo Límite Plástico</t>
  </si>
  <si>
    <t>Límite Líquido</t>
  </si>
  <si>
    <t>Anexo: G5</t>
  </si>
  <si>
    <t>Anexo: E8</t>
  </si>
  <si>
    <t>BS 1377-2:1990</t>
  </si>
  <si>
    <t>Anexo: F5</t>
  </si>
  <si>
    <t>C1</t>
  </si>
  <si>
    <r>
      <t>N</t>
    </r>
    <r>
      <rPr>
        <sz val="11"/>
        <rFont val="Calibri"/>
        <family val="2"/>
      </rPr>
      <t>° 4</t>
    </r>
  </si>
  <si>
    <r>
      <t>&lt;N</t>
    </r>
    <r>
      <rPr>
        <sz val="11"/>
        <rFont val="Calibri"/>
        <family val="2"/>
      </rPr>
      <t>° 4</t>
    </r>
  </si>
  <si>
    <r>
      <t>N</t>
    </r>
    <r>
      <rPr>
        <sz val="11"/>
        <rFont val="Calibri"/>
        <family val="2"/>
      </rPr>
      <t>° 10</t>
    </r>
  </si>
  <si>
    <r>
      <t>N</t>
    </r>
    <r>
      <rPr>
        <sz val="11"/>
        <rFont val="Calibri"/>
        <family val="2"/>
      </rPr>
      <t>° 40</t>
    </r>
  </si>
  <si>
    <r>
      <t>N</t>
    </r>
    <r>
      <rPr>
        <sz val="11"/>
        <rFont val="Calibri"/>
        <family val="2"/>
      </rPr>
      <t>° 200</t>
    </r>
  </si>
  <si>
    <r>
      <t>&lt; N</t>
    </r>
    <r>
      <rPr>
        <sz val="11"/>
        <rFont val="Calibri"/>
        <family val="2"/>
      </rPr>
      <t>° 200</t>
    </r>
  </si>
  <si>
    <t>Análisis de ensayo granulométrico</t>
  </si>
  <si>
    <t>Límite Plástico</t>
  </si>
  <si>
    <t>Indice de Plasticidad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</si>
</sst>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9" fontId="0" fillId="0" borderId="0" xfId="2" applyFont="1"/>
    <xf numFmtId="165" fontId="0" fillId="0" borderId="0" xfId="1" applyNumberFormat="1" applyFont="1"/>
    <xf numFmtId="1" fontId="0" fillId="0" borderId="0" xfId="1" applyNumberFormat="1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/>
    </xf>
    <xf numFmtId="2" fontId="0" fillId="0" borderId="0" xfId="2" applyNumberFormat="1" applyFont="1"/>
    <xf numFmtId="16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1" fontId="0" fillId="0" borderId="0" xfId="2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0" fontId="0" fillId="0" borderId="6" xfId="2" applyNumberFormat="1" applyFont="1" applyBorder="1" applyAlignment="1">
      <alignment horizontal="center" vertical="center"/>
    </xf>
    <xf numFmtId="0" fontId="0" fillId="0" borderId="7" xfId="2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9" fontId="0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</a:t>
            </a:r>
            <a:r>
              <a:rPr lang="en-US" baseline="0"/>
              <a:t> Granulométrica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3.8819335083114609E-2"/>
          <c:y val="0.14393518518518519"/>
          <c:w val="0.81660875556888057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'A1 clasificacion'!$B$15:$B$27</c:f>
              <c:numCache>
                <c:formatCode>General</c:formatCode>
                <c:ptCount val="13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19.05</c:v>
                </c:pt>
                <c:pt idx="6">
                  <c:v>12.7</c:v>
                </c:pt>
                <c:pt idx="7">
                  <c:v>9.5250000000000004</c:v>
                </c:pt>
                <c:pt idx="8">
                  <c:v>4.75</c:v>
                </c:pt>
                <c:pt idx="9">
                  <c:v>4.75</c:v>
                </c:pt>
                <c:pt idx="10">
                  <c:v>2</c:v>
                </c:pt>
                <c:pt idx="11">
                  <c:v>0.42499999999999999</c:v>
                </c:pt>
                <c:pt idx="12">
                  <c:v>7.4999999999999997E-2</c:v>
                </c:pt>
              </c:numCache>
            </c:numRef>
          </c:xVal>
          <c:yVal>
            <c:numRef>
              <c:f>'A1 clasificacion'!$F$15:$F$27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0.99550000000000005</c:v>
                </c:pt>
                <c:pt idx="11">
                  <c:v>0.98050000000000004</c:v>
                </c:pt>
                <c:pt idx="12">
                  <c:v>0.69700000000000006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BC-4195-A15D-9DB410FB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valAx>
        <c:axId val="3843088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Apertura tamices en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4560"/>
        <c:crosses val="autoZero"/>
        <c:crossBetween val="midCat"/>
      </c:valAx>
      <c:valAx>
        <c:axId val="3843045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Porcentaje que pasa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88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/>
              <a:t>Límite Líquido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35892388451443"/>
          <c:y val="0.15319444444444447"/>
          <c:w val="0.81341885389326329"/>
          <c:h val="0.6412346894138232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 cmpd="sng">
                <a:solidFill>
                  <a:schemeClr val="accent1"/>
                </a:solidFill>
                <a:prstDash val="sysDot"/>
              </a:ln>
            </c:spPr>
            <c:trendlineType val="log"/>
            <c:dispRSqr val="0"/>
            <c:dispEq val="0"/>
          </c:trendline>
          <c:xVal>
            <c:numRef>
              <c:f>[1]CUCHARA!$P$11:$P$13</c:f>
              <c:numCache>
                <c:formatCode>General</c:formatCode>
                <c:ptCount val="3"/>
                <c:pt idx="0">
                  <c:v>30</c:v>
                </c:pt>
                <c:pt idx="1">
                  <c:v>27</c:v>
                </c:pt>
                <c:pt idx="2">
                  <c:v>23</c:v>
                </c:pt>
              </c:numCache>
            </c:numRef>
          </c:xVal>
          <c:yVal>
            <c:numRef>
              <c:f>'Anexos Cuchara'!$F$147:$F$149</c:f>
              <c:numCache>
                <c:formatCode>0</c:formatCode>
                <c:ptCount val="3"/>
                <c:pt idx="0">
                  <c:v>49.295774647887328</c:v>
                </c:pt>
                <c:pt idx="1">
                  <c:v>50.769230769230724</c:v>
                </c:pt>
                <c:pt idx="2">
                  <c:v>51.627906976744228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7F-4271-9B3F-EE76A0DDD79E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Cuchara'!$D$174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Cuchara'!$E$174</c:f>
              <c:numCache>
                <c:formatCode>0.0000</c:formatCode>
                <c:ptCount val="1"/>
                <c:pt idx="0">
                  <c:v>51.049555488620292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11-4A17-9561-B7B9E3EB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73200"/>
        <c:axId val="423676152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Cuchara'!$D$173:$D$174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Cuchara'!$E$173:$E$174</c:f>
              <c:numCache>
                <c:formatCode>0.0000</c:formatCode>
                <c:ptCount val="2"/>
                <c:pt idx="0">
                  <c:v>51.049555488620292</c:v>
                </c:pt>
                <c:pt idx="1">
                  <c:v>51.049555488620292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11-4A17-9561-B7B9E3EBCB5B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Cuchara'!$D$174:$D$175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Cuchara'!$E$174:$E$175</c:f>
              <c:numCache>
                <c:formatCode>General</c:formatCode>
                <c:ptCount val="2"/>
                <c:pt idx="0" formatCode="0.0000">
                  <c:v>51.049555488620292</c:v>
                </c:pt>
                <c:pt idx="1">
                  <c:v>0.48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11-4A17-9561-B7B9E3EB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73200"/>
        <c:axId val="423676152"/>
      </c:scatterChart>
      <c:valAx>
        <c:axId val="42367320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Número de golpes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3676152"/>
        <c:crosses val="autoZero"/>
        <c:crossBetween val="midCat"/>
      </c:valAx>
      <c:valAx>
        <c:axId val="423676152"/>
        <c:scaling>
          <c:orientation val="minMax"/>
          <c:max val="52"/>
          <c:min val="4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3673200"/>
        <c:crosses val="autoZero"/>
        <c:crossBetween val="midCat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[1]CUCHARA!$P$18:$P$20</c:f>
              <c:numCache>
                <c:formatCode>General</c:formatCode>
                <c:ptCount val="3"/>
                <c:pt idx="0">
                  <c:v>26</c:v>
                </c:pt>
                <c:pt idx="1">
                  <c:v>24</c:v>
                </c:pt>
                <c:pt idx="2">
                  <c:v>20</c:v>
                </c:pt>
              </c:numCache>
            </c:numRef>
          </c:xVal>
          <c:yVal>
            <c:numRef>
              <c:f>'Anexos Cuchara'!$F$191:$F$193</c:f>
              <c:numCache>
                <c:formatCode>0</c:formatCode>
                <c:ptCount val="3"/>
                <c:pt idx="0">
                  <c:v>52.475247524752447</c:v>
                </c:pt>
                <c:pt idx="1">
                  <c:v>53.191489361702118</c:v>
                </c:pt>
                <c:pt idx="2">
                  <c:v>55.367231638418055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FF-41D1-A685-3AC87DB42B4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Cuchara'!$D$218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Cuchara'!$E$218</c:f>
              <c:numCache>
                <c:formatCode>0.0000</c:formatCode>
                <c:ptCount val="1"/>
                <c:pt idx="0">
                  <c:v>52.778590761476153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E3-4621-92B3-3206C1AC7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659880"/>
        <c:axId val="392662832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Cuchara'!$D$217:$D$218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Cuchara'!$E$217:$E$218</c:f>
              <c:numCache>
                <c:formatCode>0.0000</c:formatCode>
                <c:ptCount val="2"/>
                <c:pt idx="0">
                  <c:v>52.778590761476153</c:v>
                </c:pt>
                <c:pt idx="1">
                  <c:v>52.778590761476153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E3-4621-92B3-3206C1AC73A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E3-4621-92B3-3206C1AC73AA}"/>
              </c:ext>
            </c:extLst>
          </c:dPt>
          <c:xVal>
            <c:numRef>
              <c:f>'Anexos Cuchara'!$D$218:$D$219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Cuchara'!$E$218:$E$219</c:f>
              <c:numCache>
                <c:formatCode>0.0000</c:formatCode>
                <c:ptCount val="2"/>
                <c:pt idx="0">
                  <c:v>52.778590761476153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E3-4621-92B3-3206C1AC7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659880"/>
        <c:axId val="392662832"/>
      </c:scatterChart>
      <c:valAx>
        <c:axId val="39265988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2662832"/>
        <c:crosses val="autoZero"/>
        <c:crossBetween val="midCat"/>
      </c:valAx>
      <c:valAx>
        <c:axId val="392662832"/>
        <c:scaling>
          <c:orientation val="minMax"/>
          <c:max val="56"/>
          <c:min val="5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26598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[1]CUCHARA!$D$25:$D$27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23</c:v>
                </c:pt>
              </c:numCache>
            </c:numRef>
          </c:xVal>
          <c:yVal>
            <c:numRef>
              <c:f>'Anexos Cuchara'!$F$235:$F$237</c:f>
              <c:numCache>
                <c:formatCode>0</c:formatCode>
                <c:ptCount val="3"/>
                <c:pt idx="0">
                  <c:v>48.878923766816129</c:v>
                </c:pt>
                <c:pt idx="1">
                  <c:v>51.256281407035175</c:v>
                </c:pt>
                <c:pt idx="2">
                  <c:v>52.791878172588781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F0-4792-93C6-DE5E7F61C62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Cuchara'!$D$262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Cuchara'!$E$262</c:f>
              <c:numCache>
                <c:formatCode>0.0000</c:formatCode>
                <c:ptCount val="1"/>
                <c:pt idx="0">
                  <c:v>52.014454828725732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13-482F-A7BE-9B669B43F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97176"/>
        <c:axId val="329899144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Cuchara'!$D$261:$D$262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Cuchara'!$E$261:$E$262</c:f>
              <c:numCache>
                <c:formatCode>0.0000</c:formatCode>
                <c:ptCount val="2"/>
                <c:pt idx="0">
                  <c:v>52.014454828725732</c:v>
                </c:pt>
                <c:pt idx="1">
                  <c:v>52.014454828725732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13-482F-A7BE-9B669B43F24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D13-482F-A7BE-9B669B43F240}"/>
              </c:ext>
            </c:extLst>
          </c:dPt>
          <c:xVal>
            <c:numRef>
              <c:f>'Anexos Cuchara'!$D$262:$D$263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Cuchara'!$E$262:$E$263</c:f>
              <c:numCache>
                <c:formatCode>0.0000</c:formatCode>
                <c:ptCount val="2"/>
                <c:pt idx="0">
                  <c:v>52.014454828725732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13-482F-A7BE-9B669B43F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97176"/>
        <c:axId val="329899144"/>
      </c:scatterChart>
      <c:valAx>
        <c:axId val="329897176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golpes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9899144"/>
        <c:crosses val="autoZero"/>
        <c:crossBetween val="midCat"/>
      </c:valAx>
      <c:valAx>
        <c:axId val="329899144"/>
        <c:scaling>
          <c:orientation val="minMax"/>
          <c:max val="54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989717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[1]CUCHARA!$P$25:$P$27</c:f>
              <c:numCache>
                <c:formatCode>General</c:formatCode>
                <c:ptCount val="3"/>
                <c:pt idx="0">
                  <c:v>33</c:v>
                </c:pt>
                <c:pt idx="1">
                  <c:v>24</c:v>
                </c:pt>
                <c:pt idx="2">
                  <c:v>22</c:v>
                </c:pt>
              </c:numCache>
            </c:numRef>
          </c:xVal>
          <c:yVal>
            <c:numRef>
              <c:f>'Anexos Cuchara'!$F$279:$F$281</c:f>
              <c:numCache>
                <c:formatCode>0</c:formatCode>
                <c:ptCount val="3"/>
                <c:pt idx="0">
                  <c:v>49.308755760368669</c:v>
                </c:pt>
                <c:pt idx="1">
                  <c:v>52.606635071090011</c:v>
                </c:pt>
                <c:pt idx="2">
                  <c:v>53.403141361256559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B4-4FF7-8FDA-DDED6604720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Cuchara'!$D$306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Cuchara'!$E$306</c:f>
              <c:numCache>
                <c:formatCode>0.0000</c:formatCode>
                <c:ptCount val="1"/>
                <c:pt idx="0">
                  <c:v>52.037466586344358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77-40F9-A616-D0978576F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65480"/>
        <c:axId val="38866580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Cuchara'!$D$305:$D$306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Cuchara'!$E$305:$E$306</c:f>
              <c:numCache>
                <c:formatCode>0.0000</c:formatCode>
                <c:ptCount val="2"/>
                <c:pt idx="0">
                  <c:v>52.037466586344358</c:v>
                </c:pt>
                <c:pt idx="1">
                  <c:v>52.037466586344358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77-40F9-A616-D0978576F70F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Cuchara'!$D$306:$D$307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Cuchara'!$E$306:$E$307</c:f>
              <c:numCache>
                <c:formatCode>General</c:formatCode>
                <c:ptCount val="2"/>
                <c:pt idx="0" formatCode="0.0000">
                  <c:v>52.037466586344358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77-40F9-A616-D0978576F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65480"/>
        <c:axId val="388665808"/>
      </c:scatterChart>
      <c:valAx>
        <c:axId val="38866548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8665808"/>
        <c:crosses val="autoZero"/>
        <c:crossBetween val="midCat"/>
      </c:valAx>
      <c:valAx>
        <c:axId val="388665808"/>
        <c:scaling>
          <c:orientation val="minMax"/>
          <c:max val="54"/>
          <c:min val="4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86654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[1]CUCHARA!$D$33:$D$35</c:f>
              <c:numCache>
                <c:formatCode>General</c:formatCode>
                <c:ptCount val="3"/>
                <c:pt idx="0">
                  <c:v>35</c:v>
                </c:pt>
                <c:pt idx="1">
                  <c:v>22</c:v>
                </c:pt>
                <c:pt idx="2">
                  <c:v>20</c:v>
                </c:pt>
              </c:numCache>
            </c:numRef>
          </c:xVal>
          <c:yVal>
            <c:numRef>
              <c:f>'Anexos Cuchara'!$F$323:$F$325</c:f>
              <c:numCache>
                <c:formatCode>0</c:formatCode>
                <c:ptCount val="3"/>
                <c:pt idx="0">
                  <c:v>51.162790697674431</c:v>
                </c:pt>
                <c:pt idx="1">
                  <c:v>53.900709219858157</c:v>
                </c:pt>
                <c:pt idx="2">
                  <c:v>54.621848739495768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0-404A-B40F-E4159B865867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Cuchara'!$D$350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Cuchara'!$E$350</c:f>
              <c:numCache>
                <c:formatCode>0.00000</c:formatCode>
                <c:ptCount val="1"/>
                <c:pt idx="0">
                  <c:v>53.164857468303971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28-4D59-9E19-A7E06C6FE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212432"/>
        <c:axId val="562215384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Cuchara'!$D$349:$D$350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Cuchara'!$E$349:$E$350</c:f>
              <c:numCache>
                <c:formatCode>0.00000</c:formatCode>
                <c:ptCount val="2"/>
                <c:pt idx="0">
                  <c:v>53.164857468303971</c:v>
                </c:pt>
                <c:pt idx="1">
                  <c:v>53.164857468303971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28-4D59-9E19-A7E06C6FE08E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Cuchara'!$D$350:$D$351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Cuchara'!$E$350:$E$351</c:f>
              <c:numCache>
                <c:formatCode>General</c:formatCode>
                <c:ptCount val="2"/>
                <c:pt idx="0" formatCode="0.00000">
                  <c:v>53.164857468303971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28-4D59-9E19-A7E06C6FE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212432"/>
        <c:axId val="562215384"/>
      </c:scatterChart>
      <c:valAx>
        <c:axId val="562212432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62215384"/>
        <c:crosses val="autoZero"/>
        <c:crossBetween val="midCat"/>
      </c:valAx>
      <c:valAx>
        <c:axId val="5622153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622124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Límite Líquido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([2]CUCHARA!$D$4,[2]CUCHARA!$D$7,[2]CUCHARA!$D$10)</c:f>
              <c:numCache>
                <c:formatCode>General</c:formatCode>
                <c:ptCount val="3"/>
                <c:pt idx="0">
                  <c:v>35</c:v>
                </c:pt>
                <c:pt idx="1">
                  <c:v>25</c:v>
                </c:pt>
                <c:pt idx="2">
                  <c:v>23</c:v>
                </c:pt>
              </c:numCache>
            </c:numRef>
          </c:xVal>
          <c:yVal>
            <c:numRef>
              <c:f>'Anexos Cuchara'!$L$15:$L$17</c:f>
              <c:numCache>
                <c:formatCode>0</c:formatCode>
                <c:ptCount val="3"/>
                <c:pt idx="0">
                  <c:v>38.29787234042545</c:v>
                </c:pt>
                <c:pt idx="1">
                  <c:v>40</c:v>
                </c:pt>
                <c:pt idx="2">
                  <c:v>41.66666666666665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A8-4A53-9391-E7B86E602C06}"/>
            </c:ext>
          </c:extLst>
        </c:ser>
        <c:ser>
          <c:idx val="3"/>
          <c:order val="3"/>
          <c:spPr>
            <a:ln w="19050">
              <a:noFill/>
            </a:ln>
          </c:spPr>
          <c:xVal>
            <c:numRef>
              <c:f>'Anexos Cuchara'!$J$42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Cuchara'!$K$42</c:f>
              <c:numCache>
                <c:formatCode>General</c:formatCode>
                <c:ptCount val="1"/>
                <c:pt idx="0">
                  <c:v>40.406745050790796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4C-4927-9ECB-59621F792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tx>
            <c:strRef>
              <c:f>'Anexos Cuchara'!$J$41:$J$42</c:f>
              <c:strCache>
                <c:ptCount val="2"/>
                <c:pt idx="0">
                  <c:v>10</c:v>
                </c:pt>
                <c:pt idx="1">
                  <c:v>25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Cuchara'!$J$41:$J$42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Cuchara'!$K$41:$K$42</c:f>
              <c:numCache>
                <c:formatCode>General</c:formatCode>
                <c:ptCount val="2"/>
                <c:pt idx="0">
                  <c:v>40.406745050790796</c:v>
                </c:pt>
                <c:pt idx="1">
                  <c:v>40.406745050790796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4C-4927-9ECB-59621F79285B}"/>
            </c:ext>
          </c:extLst>
        </c:ser>
        <c:ser>
          <c:idx val="2"/>
          <c:order val="2"/>
          <c:spPr>
            <a:ln w="19050">
              <a:noFill/>
            </a:ln>
          </c:spPr>
          <c:dPt>
            <c:idx val="1"/>
            <c:bubble3D val="0"/>
            <c:spPr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64C-4927-9ECB-59621F79285B}"/>
              </c:ext>
            </c:extLst>
          </c:dPt>
          <c:xVal>
            <c:numRef>
              <c:f>'Anexos Cuchara'!$J$42:$J$43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Cuchara'!$K$42:$K$43</c:f>
              <c:numCache>
                <c:formatCode>General</c:formatCode>
                <c:ptCount val="2"/>
                <c:pt idx="0">
                  <c:v>40.406745050790796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4C-4927-9ECB-59621F792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Número de golpes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  <c:max val="42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#*1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Límite Lquido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([2]CUCHARA!$P$4,[2]CUCHARA!$P$7,[2]CUCHARA!$P$10)</c:f>
              <c:numCache>
                <c:formatCode>General</c:formatCode>
                <c:ptCount val="3"/>
                <c:pt idx="0">
                  <c:v>26</c:v>
                </c:pt>
                <c:pt idx="1">
                  <c:v>23</c:v>
                </c:pt>
                <c:pt idx="2">
                  <c:v>17</c:v>
                </c:pt>
              </c:numCache>
            </c:numRef>
          </c:xVal>
          <c:yVal>
            <c:numRef>
              <c:f>'Anexos Cuchara'!$L$59:$L$61</c:f>
              <c:numCache>
                <c:formatCode>0</c:formatCode>
                <c:ptCount val="3"/>
                <c:pt idx="0">
                  <c:v>41.666666666666735</c:v>
                </c:pt>
                <c:pt idx="1">
                  <c:v>42.793129200896217</c:v>
                </c:pt>
                <c:pt idx="2">
                  <c:v>45.172656800563757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28-4B12-A4F7-AEAE0531D4AB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Cuchara'!$J$86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Cuchara'!$K$86</c:f>
              <c:numCache>
                <c:formatCode>General</c:formatCode>
                <c:ptCount val="1"/>
                <c:pt idx="0">
                  <c:v>41.97521823608075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59-40DA-98A1-4CA95B09B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scatterChart>
        <c:scatterStyle val="smoothMarker"/>
        <c:varyColors val="0"/>
        <c:ser>
          <c:idx val="1"/>
          <c:order val="1"/>
          <c:tx>
            <c:strRef>
              <c:f>'Anexos Cuchara'!$J$85:$J$86</c:f>
              <c:strCache>
                <c:ptCount val="2"/>
                <c:pt idx="0">
                  <c:v>10</c:v>
                </c:pt>
                <c:pt idx="1">
                  <c:v>25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Cuchara'!$J$85:$J$86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Cuchara'!$K$85:$K$86</c:f>
              <c:numCache>
                <c:formatCode>General</c:formatCode>
                <c:ptCount val="2"/>
                <c:pt idx="0">
                  <c:v>41.97521823608075</c:v>
                </c:pt>
                <c:pt idx="1">
                  <c:v>41.97521823608075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59-40DA-98A1-4CA95B09B55A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Cuchara'!$J$86:$J$87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Cuchara'!$K$86:$K$87</c:f>
              <c:numCache>
                <c:formatCode>General</c:formatCode>
                <c:ptCount val="2"/>
                <c:pt idx="0">
                  <c:v>41.97521823608075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59-40DA-98A1-4CA95B09B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valAx>
        <c:axId val="54341096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09656"/>
        <c:crosses val="autoZero"/>
        <c:crossBetween val="midCat"/>
      </c:valAx>
      <c:valAx>
        <c:axId val="543409656"/>
        <c:scaling>
          <c:orientation val="minMax"/>
          <c:max val="46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109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ln>
                <a:solidFill>
                  <a:schemeClr val="accent1">
                    <a:alpha val="95000"/>
                  </a:schemeClr>
                </a:solidFill>
              </a:ln>
            </c:spPr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og"/>
            <c:dispRSqr val="0"/>
            <c:dispEq val="0"/>
          </c:trendline>
          <c:xVal>
            <c:numRef>
              <c:f>([2]CUCHARA!$D$17,[2]CUCHARA!$D$20,[2]CUCHARA!$D$23)</c:f>
              <c:numCache>
                <c:formatCode>General</c:formatCode>
                <c:ptCount val="3"/>
                <c:pt idx="0">
                  <c:v>32</c:v>
                </c:pt>
                <c:pt idx="1">
                  <c:v>24</c:v>
                </c:pt>
                <c:pt idx="2">
                  <c:v>21</c:v>
                </c:pt>
              </c:numCache>
            </c:numRef>
          </c:xVal>
          <c:yVal>
            <c:numRef>
              <c:f>'Anexos Cuchara'!$L$103:$L$105</c:f>
              <c:numCache>
                <c:formatCode>0</c:formatCode>
                <c:ptCount val="3"/>
                <c:pt idx="0">
                  <c:v>40.384615384615444</c:v>
                </c:pt>
                <c:pt idx="1">
                  <c:v>40.579710144927461</c:v>
                </c:pt>
                <c:pt idx="2">
                  <c:v>43.283582089552247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2-4D8C-A2F1-B09F30C3A2C7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Cuchara'!$J$130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Cuchara'!$K$130</c:f>
              <c:numCache>
                <c:formatCode>General</c:formatCode>
                <c:ptCount val="1"/>
                <c:pt idx="0">
                  <c:v>41.458632633277617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72-4674-AE41-F4D115F5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Cuchara'!$J$129:$J$130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Cuchara'!$K$129:$K$130</c:f>
              <c:numCache>
                <c:formatCode>General</c:formatCode>
                <c:ptCount val="2"/>
                <c:pt idx="0">
                  <c:v>41.458632633277617</c:v>
                </c:pt>
                <c:pt idx="1">
                  <c:v>41.458632633277617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72-4674-AE41-F4D115F5CF7C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Cuchara'!$J$130:$J$131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Cuchara'!$K$130:$K$131</c:f>
              <c:numCache>
                <c:formatCode>General</c:formatCode>
                <c:ptCount val="2"/>
                <c:pt idx="0">
                  <c:v>41.458632633277617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72-4674-AE41-F4D115F5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Número de golpes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  <c:max val="44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>
                    <a:alpha val="99000"/>
                  </a:schemeClr>
                </a:solidFill>
                <a:prstDash val="sysDot"/>
              </a:ln>
            </c:spPr>
            <c:trendlineType val="log"/>
            <c:dispRSqr val="0"/>
            <c:dispEq val="0"/>
          </c:trendline>
          <c:xVal>
            <c:numRef>
              <c:f>([2]CUCHARA!$D$30,[2]CUCHARA!$D$33,[2]CUCHARA!$D$36)</c:f>
              <c:numCache>
                <c:formatCode>General</c:formatCode>
                <c:ptCount val="3"/>
                <c:pt idx="0">
                  <c:v>32</c:v>
                </c:pt>
                <c:pt idx="1">
                  <c:v>25</c:v>
                </c:pt>
                <c:pt idx="2">
                  <c:v>20</c:v>
                </c:pt>
              </c:numCache>
            </c:numRef>
          </c:xVal>
          <c:yVal>
            <c:numRef>
              <c:f>'Anexos Cuchara'!$L$147:$L$149</c:f>
              <c:numCache>
                <c:formatCode>0</c:formatCode>
                <c:ptCount val="3"/>
                <c:pt idx="0">
                  <c:v>38.571428571428513</c:v>
                </c:pt>
                <c:pt idx="1">
                  <c:v>41.379310344827623</c:v>
                </c:pt>
                <c:pt idx="2">
                  <c:v>42.028985507246361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88-4023-B1DE-7943B716E5DC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Cuchara'!$J$174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Cuchara'!$K$174</c:f>
              <c:numCache>
                <c:formatCode>General</c:formatCode>
                <c:ptCount val="1"/>
                <c:pt idx="0">
                  <c:v>40.664094060948955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CF-4AFA-A610-937CC8F87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Cuchara'!$J$173:$J$174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Cuchara'!$K$173:$K$174</c:f>
              <c:numCache>
                <c:formatCode>General</c:formatCode>
                <c:ptCount val="2"/>
                <c:pt idx="0">
                  <c:v>40.664094060948955</c:v>
                </c:pt>
                <c:pt idx="1">
                  <c:v>40.664094060948955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CF-4AFA-A610-937CC8F872EC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Cuchara'!$J$174:$J$175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Cuchara'!$K$174:$K$175</c:f>
              <c:numCache>
                <c:formatCode>General</c:formatCode>
                <c:ptCount val="2"/>
                <c:pt idx="0">
                  <c:v>40.664094060948955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CF-4AFA-A610-937CC8F87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Número de golpes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  <c:max val="43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([3]CUCHARA!$D$11,[3]CUCHARA!$D$12,[3]CUCHARA!$D$13)</c:f>
              <c:numCache>
                <c:formatCode>General</c:formatCode>
                <c:ptCount val="3"/>
                <c:pt idx="0">
                  <c:v>30</c:v>
                </c:pt>
                <c:pt idx="1">
                  <c:v>26</c:v>
                </c:pt>
                <c:pt idx="2">
                  <c:v>15</c:v>
                </c:pt>
              </c:numCache>
            </c:numRef>
          </c:xVal>
          <c:yVal>
            <c:numRef>
              <c:f>'Anexos Cuchara'!$R$103:$R$105</c:f>
              <c:numCache>
                <c:formatCode>0</c:formatCode>
                <c:ptCount val="3"/>
                <c:pt idx="0">
                  <c:v>35.365853658536608</c:v>
                </c:pt>
                <c:pt idx="1">
                  <c:v>36.299944800645449</c:v>
                </c:pt>
                <c:pt idx="2">
                  <c:v>39.183673469387728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CA-4EF5-A71A-9122741CFD2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Cuchara'!$N$130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Cuchara'!$O$130</c:f>
              <c:numCache>
                <c:formatCode>General</c:formatCode>
                <c:ptCount val="1"/>
                <c:pt idx="0">
                  <c:v>36.538070545711719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9C-4F57-92EC-F0B3FCC8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321824"/>
        <c:axId val="395322480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Cuchara'!$N$129:$N$130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Cuchara'!$O$129:$O$130</c:f>
              <c:numCache>
                <c:formatCode>General</c:formatCode>
                <c:ptCount val="2"/>
                <c:pt idx="0">
                  <c:v>36.538070545711719</c:v>
                </c:pt>
                <c:pt idx="1">
                  <c:v>36.538070545711719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9C-4F57-92EC-F0B3FCC8D902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Cuchara'!$N$130:$N$131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Cuchara'!$O$130:$O$131</c:f>
              <c:numCache>
                <c:formatCode>General</c:formatCode>
                <c:ptCount val="2"/>
                <c:pt idx="0">
                  <c:v>36.538070545711719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9C-4F57-92EC-F0B3FCC8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321824"/>
        <c:axId val="395322480"/>
      </c:scatterChart>
      <c:valAx>
        <c:axId val="39532182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5322480"/>
        <c:crosses val="autoZero"/>
        <c:crossBetween val="midCat"/>
      </c:valAx>
      <c:valAx>
        <c:axId val="395322480"/>
        <c:scaling>
          <c:orientation val="minMax"/>
          <c:max val="40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532182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'A1 clasificacion'!$B$51:$B$53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23</c:v>
                </c:pt>
              </c:numCache>
            </c:numRef>
          </c:xVal>
          <c:yVal>
            <c:numRef>
              <c:f>'A1 clasificacion'!$F$51:$F$53</c:f>
              <c:numCache>
                <c:formatCode>0</c:formatCode>
                <c:ptCount val="3"/>
                <c:pt idx="0">
                  <c:v>48.88</c:v>
                </c:pt>
                <c:pt idx="1">
                  <c:v>51.26</c:v>
                </c:pt>
                <c:pt idx="2">
                  <c:v>52.79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4B-4E60-B90D-3AD237ED3CE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'A1 clasificacion'!$E$92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'A1 clasificacion'!$F$92</c:f>
              <c:numCache>
                <c:formatCode>General</c:formatCode>
                <c:ptCount val="1"/>
                <c:pt idx="0">
                  <c:v>52.014454828725732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66-49AA-AB36-F7339D747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'A1 clasificacion'!$E$91:$E$92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'A1 clasificacion'!$F$91:$F$92</c:f>
              <c:numCache>
                <c:formatCode>General</c:formatCode>
                <c:ptCount val="2"/>
                <c:pt idx="0">
                  <c:v>52.014454828725732</c:v>
                </c:pt>
                <c:pt idx="1">
                  <c:v>52.014454828725732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66-49AA-AB36-F7339D747399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'A1 clasificacion'!$E$92:$E$93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'A1 clasificacion'!$F$92:$F$93</c:f>
              <c:numCache>
                <c:formatCode>General</c:formatCode>
                <c:ptCount val="2"/>
                <c:pt idx="0">
                  <c:v>52.014454828725732</c:v>
                </c:pt>
                <c:pt idx="1">
                  <c:v>0.47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66-49AA-AB36-F7339D747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valAx>
        <c:axId val="38430882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golpes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4560"/>
        <c:crosses val="autoZero"/>
        <c:crossBetween val="midCat"/>
      </c:valAx>
      <c:valAx>
        <c:axId val="384304560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 hummedad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8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([3]CUCHARA!$O$4,[3]CUCHARA!$O$5,[3]CUCHARA!$O$6)</c:f>
              <c:numCache>
                <c:formatCode>General</c:formatCode>
                <c:ptCount val="3"/>
                <c:pt idx="0">
                  <c:v>32</c:v>
                </c:pt>
                <c:pt idx="1">
                  <c:v>27</c:v>
                </c:pt>
                <c:pt idx="2">
                  <c:v>21</c:v>
                </c:pt>
              </c:numCache>
            </c:numRef>
          </c:xVal>
          <c:yVal>
            <c:numRef>
              <c:f>'Anexos Cuchara'!$R$59:$R$61</c:f>
              <c:numCache>
                <c:formatCode>0</c:formatCode>
                <c:ptCount val="3"/>
                <c:pt idx="0">
                  <c:v>33.44</c:v>
                </c:pt>
                <c:pt idx="1">
                  <c:v>34.24</c:v>
                </c:pt>
                <c:pt idx="2">
                  <c:v>36.090000000000003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2B-451B-94FD-122010825A9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Cuchara'!$N$86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Cuchara'!$O$86</c:f>
              <c:numCache>
                <c:formatCode>General</c:formatCode>
                <c:ptCount val="1"/>
                <c:pt idx="0">
                  <c:v>34.749194720843512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8F-4D7B-867D-026E9293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440064"/>
        <c:axId val="39137788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Cuchara'!$N$85:$N$86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Cuchara'!$O$85:$O$86</c:f>
              <c:numCache>
                <c:formatCode>General</c:formatCode>
                <c:ptCount val="2"/>
                <c:pt idx="0">
                  <c:v>34.749194720843512</c:v>
                </c:pt>
                <c:pt idx="1">
                  <c:v>34.749194720843512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8F-4D7B-867D-026E92937FF3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Cuchara'!$N$86:$N$87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Cuchara'!$O$86:$O$87</c:f>
              <c:numCache>
                <c:formatCode>General</c:formatCode>
                <c:ptCount val="2"/>
                <c:pt idx="0">
                  <c:v>34.749194720843512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8F-4D7B-867D-026E9293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440064"/>
        <c:axId val="391377888"/>
      </c:scatterChart>
      <c:valAx>
        <c:axId val="39744006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golpes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1377888"/>
        <c:crosses val="autoZero"/>
        <c:crossBetween val="midCat"/>
      </c:valAx>
      <c:valAx>
        <c:axId val="391377888"/>
        <c:scaling>
          <c:orientation val="minMax"/>
          <c:max val="37"/>
          <c:min val="3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74400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[3]CUCHARA!$D$4:$D$6</c:f>
              <c:numCache>
                <c:formatCode>General</c:formatCode>
                <c:ptCount val="3"/>
                <c:pt idx="0">
                  <c:v>25</c:v>
                </c:pt>
                <c:pt idx="1">
                  <c:v>22</c:v>
                </c:pt>
                <c:pt idx="2">
                  <c:v>16</c:v>
                </c:pt>
              </c:numCache>
            </c:numRef>
          </c:xVal>
          <c:yVal>
            <c:numRef>
              <c:f>'Anexos Cuchara'!$R$15:$R$17</c:f>
              <c:numCache>
                <c:formatCode>0</c:formatCode>
                <c:ptCount val="3"/>
                <c:pt idx="0">
                  <c:v>35.954999999999998</c:v>
                </c:pt>
                <c:pt idx="1">
                  <c:v>36.948</c:v>
                </c:pt>
                <c:pt idx="2">
                  <c:v>36.444000000000003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C5-4348-BED6-C168CC40A68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Cuchara'!$N$42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Cuchara'!$O$42</c:f>
              <c:numCache>
                <c:formatCode>General</c:formatCode>
                <c:ptCount val="1"/>
                <c:pt idx="0">
                  <c:v>36.336395394101842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8D-4267-B05E-1E897863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981664"/>
        <c:axId val="378981992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Cuchara'!$N$41:$N$42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Cuchara'!$O$41:$O$42</c:f>
              <c:numCache>
                <c:formatCode>General</c:formatCode>
                <c:ptCount val="2"/>
                <c:pt idx="0">
                  <c:v>36.336395394101842</c:v>
                </c:pt>
                <c:pt idx="1">
                  <c:v>36.336395394101842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8D-4267-B05E-1E897863FEE4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Cuchara'!$N$42:$N$43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Cuchara'!$O$42:$O$43</c:f>
              <c:numCache>
                <c:formatCode>General</c:formatCode>
                <c:ptCount val="2"/>
                <c:pt idx="0">
                  <c:v>36.336395394101842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8D-4267-B05E-1E897863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981664"/>
        <c:axId val="378981992"/>
      </c:scatterChart>
      <c:valAx>
        <c:axId val="37898166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78981992"/>
        <c:crosses val="autoZero"/>
        <c:crossBetween val="midCat"/>
      </c:valAx>
      <c:valAx>
        <c:axId val="378981992"/>
        <c:scaling>
          <c:orientation val="minMax"/>
          <c:max val="37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789816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</a:t>
            </a:r>
            <a:r>
              <a:rPr lang="en-US" baseline="0"/>
              <a:t> Líquido</a:t>
            </a:r>
            <a:endParaRPr lang="en-US"/>
          </a:p>
        </c:rich>
      </c:tx>
      <c:layout>
        <c:manualLayout>
          <c:xMode val="edge"/>
          <c:yMode val="edge"/>
          <c:x val="0.33423009623797023"/>
          <c:y val="4.7758457276173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[3]CUCHARA!$O$11:$O$13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19</c:v>
                </c:pt>
              </c:numCache>
            </c:numRef>
          </c:xVal>
          <c:yVal>
            <c:numRef>
              <c:f>'Anexos Cuchara'!$R$191:$R$193</c:f>
              <c:numCache>
                <c:formatCode>0</c:formatCode>
                <c:ptCount val="3"/>
                <c:pt idx="0">
                  <c:v>32.142857142857167</c:v>
                </c:pt>
                <c:pt idx="1">
                  <c:v>33.175355450236964</c:v>
                </c:pt>
                <c:pt idx="2">
                  <c:v>37.327677624602366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63-4C97-8679-127F8C6DE7B6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Cuchara'!$N$218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Cuchara'!$O$218</c:f>
              <c:numCache>
                <c:formatCode>General</c:formatCode>
                <c:ptCount val="1"/>
                <c:pt idx="0">
                  <c:v>34.545780323646653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08-4161-8FD0-5D383B4A4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39424"/>
        <c:axId val="44153056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Cuchara'!$N$217:$N$218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Cuchara'!$O$217:$O$218</c:f>
              <c:numCache>
                <c:formatCode>General</c:formatCode>
                <c:ptCount val="2"/>
                <c:pt idx="0">
                  <c:v>34.545780323646653</c:v>
                </c:pt>
                <c:pt idx="1">
                  <c:v>34.545780323646653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08-4161-8FD0-5D383B4A403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008-4161-8FD0-5D383B4A403E}"/>
              </c:ext>
            </c:extLst>
          </c:dPt>
          <c:xVal>
            <c:numRef>
              <c:f>'Anexos Cuchara'!$N$218:$N$219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Cuchara'!$O$218:$O$219</c:f>
              <c:numCache>
                <c:formatCode>General</c:formatCode>
                <c:ptCount val="2"/>
                <c:pt idx="0">
                  <c:v>34.545780323646653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08-4161-8FD0-5D383B4A4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39424"/>
        <c:axId val="441530568"/>
      </c:scatterChart>
      <c:valAx>
        <c:axId val="44153942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1530568"/>
        <c:crosses val="autoZero"/>
        <c:crossBetween val="midCat"/>
      </c:valAx>
      <c:valAx>
        <c:axId val="441530568"/>
        <c:scaling>
          <c:orientation val="minMax"/>
          <c:min val="3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153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[3]CUCHARA!$D$18:$D$20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19</c:v>
                </c:pt>
              </c:numCache>
            </c:numRef>
          </c:xVal>
          <c:yVal>
            <c:numRef>
              <c:f>'Anexos Cuchara'!$R$147:$R$149</c:f>
              <c:numCache>
                <c:formatCode>0</c:formatCode>
                <c:ptCount val="3"/>
                <c:pt idx="0">
                  <c:v>34.46969696969694</c:v>
                </c:pt>
                <c:pt idx="1">
                  <c:v>36.714975845410599</c:v>
                </c:pt>
                <c:pt idx="2">
                  <c:v>37.628111273792143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FF-40E8-9920-5AF0BAD6350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Cuchara'!$N$174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Cuchara'!$O$174</c:f>
              <c:numCache>
                <c:formatCode>General</c:formatCode>
                <c:ptCount val="1"/>
                <c:pt idx="0">
                  <c:v>36.575620875658984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9E-49E5-9A7B-D1822672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729464"/>
        <c:axId val="52472388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Cuchara'!$N$173:$N$174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Cuchara'!$O$173:$O$174</c:f>
              <c:numCache>
                <c:formatCode>General</c:formatCode>
                <c:ptCount val="2"/>
                <c:pt idx="0">
                  <c:v>36.575620875658984</c:v>
                </c:pt>
                <c:pt idx="1">
                  <c:v>36.575620875658984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9E-49E5-9A7B-D18226724BDF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Cuchara'!$N$174:$N$175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Cuchara'!$O$174:$O$175</c:f>
              <c:numCache>
                <c:formatCode>General</c:formatCode>
                <c:ptCount val="2"/>
                <c:pt idx="0">
                  <c:v>36.575620875658984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9E-49E5-9A7B-D1822672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729464"/>
        <c:axId val="524723888"/>
      </c:scatterChart>
      <c:valAx>
        <c:axId val="52472946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24723888"/>
        <c:crosses val="autoZero"/>
        <c:crossBetween val="midCat"/>
      </c:valAx>
      <c:valAx>
        <c:axId val="524723888"/>
        <c:scaling>
          <c:orientation val="minMax"/>
          <c:max val="38"/>
          <c:min val="3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247294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og"/>
            <c:dispRSqr val="0"/>
            <c:dispEq val="0"/>
          </c:trendline>
          <c:xVal>
            <c:numRef>
              <c:f>'Anexos Cuchara'!$H$191:$H$193</c:f>
              <c:numCache>
                <c:formatCode>General</c:formatCode>
                <c:ptCount val="3"/>
                <c:pt idx="0">
                  <c:v>31</c:v>
                </c:pt>
                <c:pt idx="1">
                  <c:v>30</c:v>
                </c:pt>
                <c:pt idx="2">
                  <c:v>20</c:v>
                </c:pt>
              </c:numCache>
            </c:numRef>
          </c:xVal>
          <c:yVal>
            <c:numRef>
              <c:f>'Anexos Cuchara'!$L$191:$L$193</c:f>
              <c:numCache>
                <c:formatCode>0</c:formatCode>
                <c:ptCount val="3"/>
                <c:pt idx="0">
                  <c:v>37.5</c:v>
                </c:pt>
                <c:pt idx="1">
                  <c:v>39.611260053619276</c:v>
                </c:pt>
                <c:pt idx="2">
                  <c:v>40.915492957746487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06-47E7-8D80-DFB5200EED33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Cuchara'!$J$218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Cuchara'!$K$218</c:f>
              <c:numCache>
                <c:formatCode>General</c:formatCode>
                <c:ptCount val="1"/>
                <c:pt idx="0">
                  <c:v>39.54863263327762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1D-4A80-8527-E27C88512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tx>
            <c:strRef>
              <c:f>'Anexos Cuchara'!$J$217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Cuchara'!$J$217:$J$218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Cuchara'!$K$217:$K$218</c:f>
              <c:numCache>
                <c:formatCode>General</c:formatCode>
                <c:ptCount val="2"/>
                <c:pt idx="0">
                  <c:v>39.54863263327762</c:v>
                </c:pt>
                <c:pt idx="1">
                  <c:v>39.54863263327762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1D-4A80-8527-E27C88512C50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Cuchara'!$J$218:$J$219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Cuchara'!$K$218:$K$219</c:f>
              <c:numCache>
                <c:formatCode>General</c:formatCode>
                <c:ptCount val="2"/>
                <c:pt idx="0">
                  <c:v>39.54863263327762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1D-4A80-8527-E27C88512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Número de golpes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  <c:max val="42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</a:t>
            </a:r>
            <a:r>
              <a:rPr lang="en-US" baseline="0"/>
              <a:t> Líquido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Cono'!$G$14:$G$25</c:f>
              <c:numCache>
                <c:formatCode>0</c:formatCode>
                <c:ptCount val="12"/>
                <c:pt idx="0">
                  <c:v>51.824817518248125</c:v>
                </c:pt>
                <c:pt idx="3">
                  <c:v>54.687499999999979</c:v>
                </c:pt>
                <c:pt idx="6">
                  <c:v>57.407407407407426</c:v>
                </c:pt>
                <c:pt idx="9">
                  <c:v>61.046511627906966</c:v>
                </c:pt>
              </c:numCache>
            </c:numRef>
          </c:xVal>
          <c:yVal>
            <c:numRef>
              <c:f>'Anexos Cono'!$C$14:$C$25</c:f>
              <c:numCache>
                <c:formatCode>0.0</c:formatCode>
                <c:ptCount val="12"/>
                <c:pt idx="0">
                  <c:v>14.65</c:v>
                </c:pt>
                <c:pt idx="3">
                  <c:v>16.399999999999999</c:v>
                </c:pt>
                <c:pt idx="6">
                  <c:v>18.500000000000004</c:v>
                </c:pt>
                <c:pt idx="9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36-4F8E-871E-A9CDBD90C7E7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Cono'!$AB$47</c:f>
              <c:numCache>
                <c:formatCode>0</c:formatCode>
                <c:ptCount val="1"/>
                <c:pt idx="0">
                  <c:v>57.970776892022059</c:v>
                </c:pt>
              </c:numCache>
            </c:numRef>
          </c:xVal>
          <c:yVal>
            <c:numRef>
              <c:f>'Anexos Cono'!$AA$47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C6-4F8E-A5C2-08E9EFC5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Cono'!$AB$46:$AB$47</c:f>
              <c:numCache>
                <c:formatCode>0</c:formatCode>
                <c:ptCount val="2"/>
                <c:pt idx="0">
                  <c:v>57.970776892022059</c:v>
                </c:pt>
                <c:pt idx="1">
                  <c:v>57.970776892022059</c:v>
                </c:pt>
              </c:numCache>
            </c:numRef>
          </c:xVal>
          <c:yVal>
            <c:numRef>
              <c:f>'Anexos Cono'!$AA$46:$AA$47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C6-4F8E-A5C2-08E9EFC59313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Cono'!$AB$47:$AB$48</c:f>
              <c:numCache>
                <c:formatCode>0</c:formatCode>
                <c:ptCount val="2"/>
                <c:pt idx="0">
                  <c:v>57.970776892022059</c:v>
                </c:pt>
                <c:pt idx="1">
                  <c:v>0</c:v>
                </c:pt>
              </c:numCache>
            </c:numRef>
          </c:xVal>
          <c:yVal>
            <c:numRef>
              <c:f>'Anexos Cono'!$AA$47:$AA$48</c:f>
              <c:numCache>
                <c:formatCode>0.0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C6-4F8E-A5C2-08E9EFC5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  <c:majorUnit val="1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Penetración mm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</a:t>
            </a:r>
            <a:r>
              <a:rPr lang="en-US" baseline="0"/>
              <a:t> Líquido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Cono'!$G$106:$G$117</c:f>
              <c:numCache>
                <c:formatCode>0</c:formatCode>
                <c:ptCount val="12"/>
                <c:pt idx="0">
                  <c:v>53.642384105960296</c:v>
                </c:pt>
                <c:pt idx="3">
                  <c:v>55.55555555555555</c:v>
                </c:pt>
                <c:pt idx="6">
                  <c:v>58.031088082901583</c:v>
                </c:pt>
                <c:pt idx="9">
                  <c:v>61.722488038277454</c:v>
                </c:pt>
              </c:numCache>
            </c:numRef>
          </c:xVal>
          <c:yVal>
            <c:numRef>
              <c:f>'Anexos Cono'!$C$106:$C$117</c:f>
              <c:numCache>
                <c:formatCode>0.0</c:formatCode>
                <c:ptCount val="12"/>
                <c:pt idx="0">
                  <c:v>16.3</c:v>
                </c:pt>
                <c:pt idx="3">
                  <c:v>18.05</c:v>
                </c:pt>
                <c:pt idx="6">
                  <c:v>20.3</c:v>
                </c:pt>
                <c:pt idx="9">
                  <c:v>22.700000000000003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DC-4B52-AAB4-8A2A4FC97C5A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Cono'!$Z$139</c:f>
              <c:numCache>
                <c:formatCode>0.0000</c:formatCode>
                <c:ptCount val="1"/>
                <c:pt idx="0">
                  <c:v>58.073021800565208</c:v>
                </c:pt>
              </c:numCache>
            </c:numRef>
          </c:xVal>
          <c:yVal>
            <c:numRef>
              <c:f>'Anexos Cono'!$AA$139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24-41D1-8966-F2E905023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Cono'!$Z$138:$Z$139</c:f>
              <c:numCache>
                <c:formatCode>0.0000</c:formatCode>
                <c:ptCount val="2"/>
                <c:pt idx="0">
                  <c:v>58.073021800565208</c:v>
                </c:pt>
                <c:pt idx="1">
                  <c:v>58.073021800565208</c:v>
                </c:pt>
              </c:numCache>
            </c:numRef>
          </c:xVal>
          <c:yVal>
            <c:numRef>
              <c:f>'Anexos Cono'!$AA$138:$AA$139</c:f>
              <c:numCache>
                <c:formatCode>0.0</c:formatCode>
                <c:ptCount val="2"/>
                <c:pt idx="0" formatCode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24-41D1-8966-F2E9050232B9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Cono'!$Z$139:$Z$140</c:f>
              <c:numCache>
                <c:formatCode>0.000</c:formatCode>
                <c:ptCount val="2"/>
                <c:pt idx="0" formatCode="0.0000">
                  <c:v>58.073021800565208</c:v>
                </c:pt>
                <c:pt idx="1">
                  <c:v>0</c:v>
                </c:pt>
              </c:numCache>
            </c:numRef>
          </c:xVal>
          <c:yVal>
            <c:numRef>
              <c:f>'Anexos Cono'!$AA$139:$AA$140</c:f>
              <c:numCache>
                <c:formatCode>0</c:formatCode>
                <c:ptCount val="2"/>
                <c:pt idx="0" formatCode="0.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24-41D1-8966-F2E905023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  <c:majorUnit val="1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Pebetración mm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Cono'!$G$290:$G$301</c:f>
              <c:numCache>
                <c:formatCode>0</c:formatCode>
                <c:ptCount val="12"/>
                <c:pt idx="0">
                  <c:v>51.204819277108449</c:v>
                </c:pt>
                <c:pt idx="3">
                  <c:v>54.251012145748945</c:v>
                </c:pt>
                <c:pt idx="6">
                  <c:v>57.000000000000028</c:v>
                </c:pt>
                <c:pt idx="9">
                  <c:v>60.5911330049261</c:v>
                </c:pt>
              </c:numCache>
            </c:numRef>
          </c:xVal>
          <c:yVal>
            <c:numRef>
              <c:f>'Anexos Cono'!$C$290:$C$301</c:f>
              <c:numCache>
                <c:formatCode>0.0</c:formatCode>
                <c:ptCount val="12"/>
                <c:pt idx="0">
                  <c:v>15.950000000000001</c:v>
                </c:pt>
                <c:pt idx="3">
                  <c:v>17.899999999999999</c:v>
                </c:pt>
                <c:pt idx="6">
                  <c:v>20.149999999999999</c:v>
                </c:pt>
                <c:pt idx="9">
                  <c:v>25.35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EB-4558-BD3D-0E13B9601F2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Cono'!$L$318</c:f>
              <c:numCache>
                <c:formatCode>0.000</c:formatCode>
                <c:ptCount val="1"/>
                <c:pt idx="0">
                  <c:v>55.925285507479494</c:v>
                </c:pt>
              </c:numCache>
            </c:numRef>
          </c:xVal>
          <c:yVal>
            <c:numRef>
              <c:f>'Anexos Cono'!$M$318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F8-459B-9064-4C2D66536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Cono'!$L$317:$L$318</c:f>
              <c:numCache>
                <c:formatCode>0.000</c:formatCode>
                <c:ptCount val="2"/>
                <c:pt idx="0">
                  <c:v>55.925285507479494</c:v>
                </c:pt>
                <c:pt idx="1">
                  <c:v>55.925285507479494</c:v>
                </c:pt>
              </c:numCache>
            </c:numRef>
          </c:xVal>
          <c:yVal>
            <c:numRef>
              <c:f>'Anexos Cono'!$M$317:$M$318</c:f>
              <c:numCache>
                <c:formatCode>0.0</c:formatCode>
                <c:ptCount val="2"/>
                <c:pt idx="0" formatCode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F8-459B-9064-4C2D66536A27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Cono'!$L$318:$L$319</c:f>
              <c:numCache>
                <c:formatCode>0.000</c:formatCode>
                <c:ptCount val="2"/>
                <c:pt idx="0">
                  <c:v>55.925285507479494</c:v>
                </c:pt>
                <c:pt idx="1">
                  <c:v>0</c:v>
                </c:pt>
              </c:numCache>
            </c:numRef>
          </c:xVal>
          <c:yVal>
            <c:numRef>
              <c:f>'Anexos Cono'!$M$318:$M$319</c:f>
              <c:numCache>
                <c:formatCode>0.0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F8-459B-9064-4C2D66536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valAx>
        <c:axId val="543410968"/>
        <c:scaling>
          <c:orientation val="minMax"/>
          <c:max val="61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09656"/>
        <c:crosses val="autoZero"/>
        <c:crossBetween val="midCat"/>
        <c:majorUnit val="1"/>
      </c:valAx>
      <c:valAx>
        <c:axId val="54340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</a:t>
                </a:r>
                <a:r>
                  <a:rPr lang="en-US" baseline="0"/>
                  <a:t> mm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1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Cono'!$G$60:$G$71</c:f>
              <c:numCache>
                <c:formatCode>0</c:formatCode>
                <c:ptCount val="12"/>
                <c:pt idx="0">
                  <c:v>56.250000000000014</c:v>
                </c:pt>
                <c:pt idx="3">
                  <c:v>57.627118644067721</c:v>
                </c:pt>
                <c:pt idx="6">
                  <c:v>61.212121212121261</c:v>
                </c:pt>
                <c:pt idx="9">
                  <c:v>61.688311688311671</c:v>
                </c:pt>
              </c:numCache>
            </c:numRef>
          </c:xVal>
          <c:yVal>
            <c:numRef>
              <c:f>'Anexos Cono'!$C$60:$C$71</c:f>
              <c:numCache>
                <c:formatCode>0.0</c:formatCode>
                <c:ptCount val="12"/>
                <c:pt idx="0">
                  <c:v>17.600000000000001</c:v>
                </c:pt>
                <c:pt idx="3">
                  <c:v>19.399999999999999</c:v>
                </c:pt>
                <c:pt idx="6">
                  <c:v>21.733333333333331</c:v>
                </c:pt>
                <c:pt idx="9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6-4A50-BF8E-F356576907D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Cono'!$AA$94</c:f>
              <c:numCache>
                <c:formatCode>0.000</c:formatCode>
                <c:ptCount val="1"/>
                <c:pt idx="0">
                  <c:v>58.705485555718496</c:v>
                </c:pt>
              </c:numCache>
            </c:numRef>
          </c:xVal>
          <c:yVal>
            <c:numRef>
              <c:f>'Anexos Cono'!$AB$94</c:f>
              <c:numCache>
                <c:formatCode>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9C-422C-9201-509D0666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48112"/>
        <c:axId val="59145204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Cono'!$AA$93:$AA$94</c:f>
              <c:numCache>
                <c:formatCode>0.000</c:formatCode>
                <c:ptCount val="2"/>
                <c:pt idx="0">
                  <c:v>58.705485555718496</c:v>
                </c:pt>
                <c:pt idx="1">
                  <c:v>58.705485555718496</c:v>
                </c:pt>
              </c:numCache>
            </c:numRef>
          </c:xVal>
          <c:yVal>
            <c:numRef>
              <c:f>'Anexos Cono'!$AB$93:$AB$94</c:f>
              <c:numCache>
                <c:formatCode>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9C-422C-9201-509D066628C2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Cono'!$AA$94:$AA$95</c:f>
              <c:numCache>
                <c:formatCode>0.000</c:formatCode>
                <c:ptCount val="2"/>
                <c:pt idx="0">
                  <c:v>58.705485555718496</c:v>
                </c:pt>
                <c:pt idx="1">
                  <c:v>0</c:v>
                </c:pt>
              </c:numCache>
            </c:numRef>
          </c:xVal>
          <c:yVal>
            <c:numRef>
              <c:f>'Anexos Cono'!$AB$94:$AB$95</c:f>
              <c:numCache>
                <c:formatCode>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9C-422C-9201-509D0666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48112"/>
        <c:axId val="591452048"/>
      </c:scatterChart>
      <c:valAx>
        <c:axId val="591448112"/>
        <c:scaling>
          <c:orientation val="minMax"/>
          <c:max val="62"/>
          <c:min val="5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1452048"/>
        <c:crosses val="autoZero"/>
        <c:crossBetween val="midCat"/>
        <c:majorUnit val="1"/>
      </c:valAx>
      <c:valAx>
        <c:axId val="59145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144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Cono'!$G$152:$G$163</c:f>
              <c:numCache>
                <c:formatCode>0</c:formatCode>
                <c:ptCount val="12"/>
                <c:pt idx="0">
                  <c:v>53.398058252427163</c:v>
                </c:pt>
                <c:pt idx="3">
                  <c:v>53.594771241830095</c:v>
                </c:pt>
                <c:pt idx="6">
                  <c:v>57.058823529411782</c:v>
                </c:pt>
                <c:pt idx="9">
                  <c:v>59.848484848484858</c:v>
                </c:pt>
              </c:numCache>
            </c:numRef>
          </c:xVal>
          <c:yVal>
            <c:numRef>
              <c:f>'Anexos Cono'!$C$152:$C$163</c:f>
              <c:numCache>
                <c:formatCode>0.0</c:formatCode>
                <c:ptCount val="12"/>
                <c:pt idx="0">
                  <c:v>15.350000000000001</c:v>
                </c:pt>
                <c:pt idx="3">
                  <c:v>16.850000000000001</c:v>
                </c:pt>
                <c:pt idx="6">
                  <c:v>19.200000000000003</c:v>
                </c:pt>
                <c:pt idx="9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9E-4923-A5C3-37EF33DDE823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Cono'!$Z$185</c:f>
              <c:numCache>
                <c:formatCode>0.000</c:formatCode>
                <c:ptCount val="1"/>
                <c:pt idx="0">
                  <c:v>57.758015192937329</c:v>
                </c:pt>
              </c:numCache>
            </c:numRef>
          </c:xVal>
          <c:yVal>
            <c:numRef>
              <c:f>'Anexos Cono'!$AA$185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C1-414F-AF73-B4AE26FE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3968"/>
        <c:axId val="498845608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Cono'!$Z$184:$Z$185</c:f>
              <c:numCache>
                <c:formatCode>0.000</c:formatCode>
                <c:ptCount val="2"/>
                <c:pt idx="0">
                  <c:v>57.758015192937329</c:v>
                </c:pt>
                <c:pt idx="1">
                  <c:v>57.758015192937329</c:v>
                </c:pt>
              </c:numCache>
            </c:numRef>
          </c:xVal>
          <c:yVal>
            <c:numRef>
              <c:f>'Anexos Cono'!$AA$184:$AA$185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C1-414F-AF73-B4AE26FEE080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Cono'!$Z$185:$Z$186</c:f>
              <c:numCache>
                <c:formatCode>0.000</c:formatCode>
                <c:ptCount val="2"/>
                <c:pt idx="0">
                  <c:v>57.758015192937329</c:v>
                </c:pt>
                <c:pt idx="1">
                  <c:v>0</c:v>
                </c:pt>
              </c:numCache>
            </c:numRef>
          </c:xVal>
          <c:yVal>
            <c:numRef>
              <c:f>'Anexos Cono'!$AA$185:$AA$186</c:f>
              <c:numCache>
                <c:formatCode>0</c:formatCode>
                <c:ptCount val="2"/>
                <c:pt idx="0" formatCode="0.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C1-414F-AF73-B4AE26FE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3968"/>
        <c:axId val="498845608"/>
      </c:scatterChart>
      <c:valAx>
        <c:axId val="498843968"/>
        <c:scaling>
          <c:orientation val="minMax"/>
          <c:min val="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8845608"/>
        <c:crosses val="autoZero"/>
        <c:crossBetween val="midCat"/>
      </c:valAx>
      <c:valAx>
        <c:axId val="49884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Penetracion mm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884396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Curva Granulométrica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3.8819335083114609E-2"/>
          <c:y val="0.14393518518518519"/>
          <c:w val="0.81660875556888057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'A1 clasificacion'!$H$15:$H$27</c:f>
              <c:numCache>
                <c:formatCode>General</c:formatCode>
                <c:ptCount val="13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19.05</c:v>
                </c:pt>
                <c:pt idx="6">
                  <c:v>12.7</c:v>
                </c:pt>
                <c:pt idx="7">
                  <c:v>9.5250000000000004</c:v>
                </c:pt>
                <c:pt idx="8">
                  <c:v>4.75</c:v>
                </c:pt>
                <c:pt idx="9">
                  <c:v>4.75</c:v>
                </c:pt>
                <c:pt idx="10">
                  <c:v>2</c:v>
                </c:pt>
                <c:pt idx="11">
                  <c:v>0.42499999999999999</c:v>
                </c:pt>
                <c:pt idx="12">
                  <c:v>7.4999999999999997E-2</c:v>
                </c:pt>
              </c:numCache>
            </c:numRef>
          </c:xVal>
          <c:yVal>
            <c:numRef>
              <c:f>'A1 clasificacion'!$L$15:$L$27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0.99299999999999999</c:v>
                </c:pt>
                <c:pt idx="9">
                  <c:v>0.99303828940825456</c:v>
                </c:pt>
                <c:pt idx="10">
                  <c:v>0.97066136250621582</c:v>
                </c:pt>
                <c:pt idx="11">
                  <c:v>0.88065638985579309</c:v>
                </c:pt>
                <c:pt idx="12">
                  <c:v>0.74738935852809552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AC-4B36-9EE5-6F97A8CE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valAx>
        <c:axId val="3843088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Apertura tamices en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4560"/>
        <c:crosses val="autoZero"/>
        <c:crossBetween val="midCat"/>
      </c:valAx>
      <c:valAx>
        <c:axId val="3843045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Porcentaje que pasa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88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</a:t>
            </a:r>
            <a:r>
              <a:rPr lang="en-US" baseline="0"/>
              <a:t> Líquido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Cono'!$G$244:$G$255</c:f>
              <c:numCache>
                <c:formatCode>0</c:formatCode>
                <c:ptCount val="12"/>
                <c:pt idx="0">
                  <c:v>55.263157894736892</c:v>
                </c:pt>
                <c:pt idx="3">
                  <c:v>58.29383886255922</c:v>
                </c:pt>
                <c:pt idx="6">
                  <c:v>60.606060606060595</c:v>
                </c:pt>
                <c:pt idx="9">
                  <c:v>63.333333333333286</c:v>
                </c:pt>
              </c:numCache>
            </c:numRef>
          </c:xVal>
          <c:yVal>
            <c:numRef>
              <c:f>'Anexos Cono'!$C$244:$C$255</c:f>
              <c:numCache>
                <c:formatCode>0.0</c:formatCode>
                <c:ptCount val="12"/>
                <c:pt idx="0">
                  <c:v>18.05</c:v>
                </c:pt>
                <c:pt idx="3">
                  <c:v>19.25</c:v>
                </c:pt>
                <c:pt idx="6">
                  <c:v>22.35</c:v>
                </c:pt>
                <c:pt idx="9">
                  <c:v>23.1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64-4E8C-825A-A80045FCA4E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Cono'!$L$277</c:f>
              <c:numCache>
                <c:formatCode>0.000</c:formatCode>
                <c:ptCount val="1"/>
                <c:pt idx="0">
                  <c:v>58.364192088402987</c:v>
                </c:pt>
              </c:numCache>
            </c:numRef>
          </c:xVal>
          <c:yVal>
            <c:numRef>
              <c:f>'Anexos Cono'!$M$277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30-4D83-8301-5A9A26E58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3968"/>
        <c:axId val="49884560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Cono'!$L$276:$L$277</c:f>
              <c:numCache>
                <c:formatCode>0.000</c:formatCode>
                <c:ptCount val="2"/>
                <c:pt idx="0">
                  <c:v>58.364192088402987</c:v>
                </c:pt>
                <c:pt idx="1">
                  <c:v>58.364192088402987</c:v>
                </c:pt>
              </c:numCache>
            </c:numRef>
          </c:xVal>
          <c:yVal>
            <c:numRef>
              <c:f>'Anexos Cono'!$M$276:$M$277</c:f>
              <c:numCache>
                <c:formatCode>0.0</c:formatCode>
                <c:ptCount val="2"/>
                <c:pt idx="0" formatCode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30-4D83-8301-5A9A26E58A1A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Cono'!$L$277:$L$278</c:f>
              <c:numCache>
                <c:formatCode>0.000</c:formatCode>
                <c:ptCount val="2"/>
                <c:pt idx="0">
                  <c:v>58.364192088402987</c:v>
                </c:pt>
                <c:pt idx="1">
                  <c:v>0</c:v>
                </c:pt>
              </c:numCache>
            </c:numRef>
          </c:xVal>
          <c:yVal>
            <c:numRef>
              <c:f>'Anexos Cono'!$M$277:$M$278</c:f>
              <c:numCache>
                <c:formatCode>0.0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30-4D83-8301-5A9A26E58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3968"/>
        <c:axId val="498845608"/>
      </c:scatterChart>
      <c:valAx>
        <c:axId val="498843968"/>
        <c:scaling>
          <c:orientation val="minMax"/>
          <c:max val="64"/>
          <c:min val="5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8845608"/>
        <c:crosses val="autoZero"/>
        <c:crossBetween val="midCat"/>
        <c:majorUnit val="1"/>
      </c:valAx>
      <c:valAx>
        <c:axId val="49884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884396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Cono'!$G$198:$G$209</c:f>
              <c:numCache>
                <c:formatCode>0</c:formatCode>
                <c:ptCount val="12"/>
                <c:pt idx="0">
                  <c:v>53.333333333333357</c:v>
                </c:pt>
                <c:pt idx="3">
                  <c:v>54.878048780487788</c:v>
                </c:pt>
                <c:pt idx="6">
                  <c:v>57.627118644067757</c:v>
                </c:pt>
                <c:pt idx="9">
                  <c:v>60.526315789473692</c:v>
                </c:pt>
              </c:numCache>
            </c:numRef>
          </c:xVal>
          <c:yVal>
            <c:numRef>
              <c:f>'Anexos Cono'!$C$198:$C$209</c:f>
              <c:numCache>
                <c:formatCode>0.0</c:formatCode>
                <c:ptCount val="12"/>
                <c:pt idx="0">
                  <c:v>16.45</c:v>
                </c:pt>
                <c:pt idx="3">
                  <c:v>18.149999999999999</c:v>
                </c:pt>
                <c:pt idx="6">
                  <c:v>19.166666666666668</c:v>
                </c:pt>
                <c:pt idx="9">
                  <c:v>22.95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3E-45CB-B692-A197DA46EF12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Cono'!$M$234</c:f>
              <c:numCache>
                <c:formatCode>0.0000</c:formatCode>
                <c:ptCount val="1"/>
                <c:pt idx="0">
                  <c:v>57.562151432082423</c:v>
                </c:pt>
              </c:numCache>
            </c:numRef>
          </c:xVal>
          <c:yVal>
            <c:numRef>
              <c:f>'Anexos Cono'!$N$234</c:f>
              <c:numCache>
                <c:formatCode>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C9-4187-8903-DE8FE88E7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3968"/>
        <c:axId val="49884560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Cono'!$M$233:$M$234</c:f>
              <c:numCache>
                <c:formatCode>0.0000</c:formatCode>
                <c:ptCount val="2"/>
                <c:pt idx="0">
                  <c:v>57.562151432082423</c:v>
                </c:pt>
                <c:pt idx="1">
                  <c:v>57.562151432082423</c:v>
                </c:pt>
              </c:numCache>
            </c:numRef>
          </c:xVal>
          <c:yVal>
            <c:numRef>
              <c:f>'Anexos Cono'!$N$233:$N$234</c:f>
              <c:numCache>
                <c:formatCode>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C9-4187-8903-DE8FE88E757D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Cono'!$M$234:$M$235</c:f>
              <c:numCache>
                <c:formatCode>0.0000</c:formatCode>
                <c:ptCount val="2"/>
                <c:pt idx="0">
                  <c:v>57.562151432082423</c:v>
                </c:pt>
                <c:pt idx="1">
                  <c:v>0</c:v>
                </c:pt>
              </c:numCache>
            </c:numRef>
          </c:xVal>
          <c:yVal>
            <c:numRef>
              <c:f>'Anexos Cono'!$N$234:$N$235</c:f>
              <c:numCache>
                <c:formatCode>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C9-4187-8903-DE8FE88E7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3968"/>
        <c:axId val="498845608"/>
      </c:scatterChart>
      <c:valAx>
        <c:axId val="498843968"/>
        <c:scaling>
          <c:orientation val="minMax"/>
          <c:max val="60.61"/>
          <c:min val="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8845608"/>
        <c:crosses val="autoZero"/>
        <c:crossBetween val="midCat"/>
        <c:majorUnit val="1"/>
      </c:valAx>
      <c:valAx>
        <c:axId val="49884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</a:t>
                </a:r>
                <a:r>
                  <a:rPr lang="en-US" baseline="0"/>
                  <a:t> mm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884396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Cono'!$N$14:$N$25</c:f>
              <c:numCache>
                <c:formatCode>0</c:formatCode>
                <c:ptCount val="12"/>
                <c:pt idx="0">
                  <c:v>46.999999999999957</c:v>
                </c:pt>
                <c:pt idx="3">
                  <c:v>48.484848484848534</c:v>
                </c:pt>
                <c:pt idx="6">
                  <c:v>49.999999999999964</c:v>
                </c:pt>
                <c:pt idx="9">
                  <c:v>51.020408163265316</c:v>
                </c:pt>
              </c:numCache>
            </c:numRef>
          </c:xVal>
          <c:yVal>
            <c:numRef>
              <c:f>'Anexos Cono'!$J$14:$J$25</c:f>
              <c:numCache>
                <c:formatCode>0.0</c:formatCode>
                <c:ptCount val="12"/>
                <c:pt idx="0">
                  <c:v>16.149999999999999</c:v>
                </c:pt>
                <c:pt idx="3">
                  <c:v>17.933333333333334</c:v>
                </c:pt>
                <c:pt idx="6">
                  <c:v>20.7</c:v>
                </c:pt>
                <c:pt idx="9">
                  <c:v>21.566666666666663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BE6-4473-9E52-A4F405C8EC36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Cono'!$AI$47</c:f>
              <c:numCache>
                <c:formatCode>0</c:formatCode>
                <c:ptCount val="1"/>
                <c:pt idx="0">
                  <c:v>49.773774909580887</c:v>
                </c:pt>
              </c:numCache>
            </c:numRef>
          </c:xVal>
          <c:yVal>
            <c:numRef>
              <c:f>'Anexos Cono'!$AH$47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2E-4D8C-8282-D99C2FF2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Cono'!$AI$46:$AI$47</c:f>
              <c:numCache>
                <c:formatCode>0</c:formatCode>
                <c:ptCount val="2"/>
                <c:pt idx="0">
                  <c:v>49.773774909580887</c:v>
                </c:pt>
                <c:pt idx="1">
                  <c:v>49.773774909580887</c:v>
                </c:pt>
              </c:numCache>
            </c:numRef>
          </c:xVal>
          <c:yVal>
            <c:numRef>
              <c:f>'Anexos Cono'!$AH$46:$AH$47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2E-4D8C-8282-D99C2FF2110F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Cono'!$AI$47:$AI$48</c:f>
              <c:numCache>
                <c:formatCode>0</c:formatCode>
                <c:ptCount val="2"/>
                <c:pt idx="0">
                  <c:v>49.773774909580887</c:v>
                </c:pt>
                <c:pt idx="1">
                  <c:v>0</c:v>
                </c:pt>
              </c:numCache>
            </c:numRef>
          </c:xVal>
          <c:yVal>
            <c:numRef>
              <c:f>'Anexos Cono'!$AH$47:$AH$48</c:f>
              <c:numCache>
                <c:formatCode>0.0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2E-4D8C-8282-D99C2FF2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in val="4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Humeda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Penetración mm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Cono'!$N$152:$N$163</c:f>
              <c:numCache>
                <c:formatCode>0</c:formatCode>
                <c:ptCount val="12"/>
                <c:pt idx="0">
                  <c:v>44</c:v>
                </c:pt>
                <c:pt idx="3">
                  <c:v>46.721311475409792</c:v>
                </c:pt>
                <c:pt idx="6">
                  <c:v>48.305084745762663</c:v>
                </c:pt>
                <c:pt idx="9">
                  <c:v>49.645390070921927</c:v>
                </c:pt>
              </c:numCache>
            </c:numRef>
          </c:xVal>
          <c:yVal>
            <c:numRef>
              <c:f>'Anexos Cono'!$J$152:$J$163</c:f>
              <c:numCache>
                <c:formatCode>0.0</c:formatCode>
                <c:ptCount val="12"/>
                <c:pt idx="0">
                  <c:v>14.2</c:v>
                </c:pt>
                <c:pt idx="3">
                  <c:v>15.9</c:v>
                </c:pt>
                <c:pt idx="6">
                  <c:v>17.75</c:v>
                </c:pt>
                <c:pt idx="9">
                  <c:v>22.900000000000002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73-400C-B0F9-074A7B29F171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Cono'!$AG$185</c:f>
              <c:numCache>
                <c:formatCode>0.000</c:formatCode>
                <c:ptCount val="1"/>
                <c:pt idx="0">
                  <c:v>49.392247567395117</c:v>
                </c:pt>
              </c:numCache>
            </c:numRef>
          </c:xVal>
          <c:yVal>
            <c:numRef>
              <c:f>'Anexos Cono'!$AH$185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9A-439A-A5CE-829D7486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0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Cono'!$AG$184:$AG$185</c:f>
              <c:numCache>
                <c:formatCode>0.000</c:formatCode>
                <c:ptCount val="2"/>
                <c:pt idx="0">
                  <c:v>49.392247567395117</c:v>
                </c:pt>
                <c:pt idx="1">
                  <c:v>49.392247567395117</c:v>
                </c:pt>
              </c:numCache>
            </c:numRef>
          </c:xVal>
          <c:yVal>
            <c:numRef>
              <c:f>'Anexos Cono'!$AH$184:$AH$185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9A-439A-A5CE-829D7486A463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Cono'!$AG$185:$AG$186</c:f>
              <c:numCache>
                <c:formatCode>0.000</c:formatCode>
                <c:ptCount val="2"/>
                <c:pt idx="0">
                  <c:v>49.392247567395117</c:v>
                </c:pt>
                <c:pt idx="1">
                  <c:v>0</c:v>
                </c:pt>
              </c:numCache>
            </c:numRef>
          </c:xVal>
          <c:yVal>
            <c:numRef>
              <c:f>'Anexos Cono'!$AH$185:$AH$186</c:f>
              <c:numCache>
                <c:formatCode>0</c:formatCode>
                <c:ptCount val="2"/>
                <c:pt idx="0" formatCode="0.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9A-439A-A5CE-829D7486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in val="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</a:t>
                </a:r>
                <a:r>
                  <a:rPr lang="en-US" b="0" baseline="0"/>
                  <a:t> Humedad</a:t>
                </a:r>
                <a:endParaRPr lang="en-US" b="0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Penetración</a:t>
                </a:r>
                <a:r>
                  <a:rPr lang="en-US" b="0" baseline="0"/>
                  <a:t> mm</a:t>
                </a:r>
                <a:endParaRPr lang="en-US" b="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</a:t>
            </a:r>
            <a:r>
              <a:rPr lang="en-US" baseline="0"/>
              <a:t> Líquido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Cono'!$N$106:$N$117</c:f>
              <c:numCache>
                <c:formatCode>0</c:formatCode>
                <c:ptCount val="12"/>
                <c:pt idx="0">
                  <c:v>45.714285714285651</c:v>
                </c:pt>
                <c:pt idx="3">
                  <c:v>46.610169491525404</c:v>
                </c:pt>
                <c:pt idx="6">
                  <c:v>48.872180451127825</c:v>
                </c:pt>
                <c:pt idx="9">
                  <c:v>50.735294117647044</c:v>
                </c:pt>
              </c:numCache>
            </c:numRef>
          </c:xVal>
          <c:yVal>
            <c:numRef>
              <c:f>'Anexos Cono'!$J$106:$J$117</c:f>
              <c:numCache>
                <c:formatCode>0.0</c:formatCode>
                <c:ptCount val="12"/>
                <c:pt idx="0">
                  <c:v>15.100000000000001</c:v>
                </c:pt>
                <c:pt idx="3">
                  <c:v>16.95</c:v>
                </c:pt>
                <c:pt idx="6">
                  <c:v>19.600000000000001</c:v>
                </c:pt>
                <c:pt idx="9">
                  <c:v>23.2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17-4595-911F-396FEB5910C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Cono'!$AG$139</c:f>
              <c:numCache>
                <c:formatCode>0.0000</c:formatCode>
                <c:ptCount val="1"/>
                <c:pt idx="0">
                  <c:v>49.078804544467765</c:v>
                </c:pt>
              </c:numCache>
            </c:numRef>
          </c:xVal>
          <c:yVal>
            <c:numRef>
              <c:f>'Anexos Cono'!$AH$139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5D-4356-9AF3-1B30A8D11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scatterChart>
        <c:scatterStyle val="smoothMarker"/>
        <c:varyColors val="0"/>
        <c:ser>
          <c:idx val="1"/>
          <c:order val="1"/>
          <c:tx>
            <c:strRef>
              <c:f>'Anexos Cono'!$AG$138:$AG$139</c:f>
              <c:strCache>
                <c:ptCount val="2"/>
                <c:pt idx="0">
                  <c:v>49.0788</c:v>
                </c:pt>
                <c:pt idx="1">
                  <c:v>49.0788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Cono'!$AG$138:$AG$139</c:f>
              <c:numCache>
                <c:formatCode>0.0000</c:formatCode>
                <c:ptCount val="2"/>
                <c:pt idx="0">
                  <c:v>49.078804544467765</c:v>
                </c:pt>
                <c:pt idx="1">
                  <c:v>49.078804544467765</c:v>
                </c:pt>
              </c:numCache>
            </c:numRef>
          </c:xVal>
          <c:yVal>
            <c:numRef>
              <c:f>'Anexos Cono'!$AH$138:$AH$139</c:f>
              <c:numCache>
                <c:formatCode>0.0</c:formatCode>
                <c:ptCount val="2"/>
                <c:pt idx="0" formatCode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5D-4356-9AF3-1B30A8D1120E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Cono'!$AG$139:$AG$140</c:f>
              <c:numCache>
                <c:formatCode>0.000</c:formatCode>
                <c:ptCount val="2"/>
                <c:pt idx="0" formatCode="0.0000">
                  <c:v>49.078804544467765</c:v>
                </c:pt>
                <c:pt idx="1">
                  <c:v>0</c:v>
                </c:pt>
              </c:numCache>
            </c:numRef>
          </c:xVal>
          <c:yVal>
            <c:numRef>
              <c:f>'Anexos Cono'!$AH$139:$AH$140</c:f>
              <c:numCache>
                <c:formatCode>0</c:formatCode>
                <c:ptCount val="2"/>
                <c:pt idx="0" formatCode="0.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5D-4356-9AF3-1B30A8D11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valAx>
        <c:axId val="543410968"/>
        <c:scaling>
          <c:orientation val="minMax"/>
          <c:max val="51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09656"/>
        <c:crosses val="autoZero"/>
        <c:crossBetween val="midCat"/>
        <c:majorUnit val="1"/>
      </c:valAx>
      <c:valAx>
        <c:axId val="54340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1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Cono'!$N$60:$N$71</c:f>
              <c:numCache>
                <c:formatCode>0</c:formatCode>
                <c:ptCount val="12"/>
                <c:pt idx="0">
                  <c:v>48.181818181818151</c:v>
                </c:pt>
                <c:pt idx="3">
                  <c:v>50.649350649350652</c:v>
                </c:pt>
                <c:pt idx="6">
                  <c:v>49.606299212598479</c:v>
                </c:pt>
                <c:pt idx="9">
                  <c:v>51.973684210526372</c:v>
                </c:pt>
              </c:numCache>
            </c:numRef>
          </c:xVal>
          <c:yVal>
            <c:numRef>
              <c:f>'Anexos Cono'!$J$60:$J$71</c:f>
              <c:numCache>
                <c:formatCode>General</c:formatCode>
                <c:ptCount val="12"/>
                <c:pt idx="0">
                  <c:v>16.600000000000001</c:v>
                </c:pt>
                <c:pt idx="3">
                  <c:v>20.3</c:v>
                </c:pt>
                <c:pt idx="6">
                  <c:v>21.5</c:v>
                </c:pt>
                <c:pt idx="9">
                  <c:v>24.7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D6-402E-9208-0F7F7A2E79A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Cono'!$AG$94</c:f>
              <c:numCache>
                <c:formatCode>0.000</c:formatCode>
                <c:ptCount val="1"/>
                <c:pt idx="0">
                  <c:v>49.69517313746065</c:v>
                </c:pt>
              </c:numCache>
            </c:numRef>
          </c:xVal>
          <c:yVal>
            <c:numRef>
              <c:f>'Anexos Cono'!$AH$94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3-4F62-8E0E-FAEEEF0B3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48112"/>
        <c:axId val="59145204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Cono'!$AG$93:$AG$94</c:f>
              <c:numCache>
                <c:formatCode>0.000</c:formatCode>
                <c:ptCount val="2"/>
                <c:pt idx="0">
                  <c:v>49.69517313746065</c:v>
                </c:pt>
                <c:pt idx="1">
                  <c:v>49.69517313746065</c:v>
                </c:pt>
              </c:numCache>
            </c:numRef>
          </c:xVal>
          <c:yVal>
            <c:numRef>
              <c:f>'Anexos Cono'!$AH$93:$AH$94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13-4F62-8E0E-FAEEEF0B327A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Cono'!$AG$94:$AG$95</c:f>
              <c:numCache>
                <c:formatCode>0.000</c:formatCode>
                <c:ptCount val="2"/>
                <c:pt idx="0">
                  <c:v>49.69517313746065</c:v>
                </c:pt>
                <c:pt idx="1">
                  <c:v>0</c:v>
                </c:pt>
              </c:numCache>
            </c:numRef>
          </c:xVal>
          <c:yVal>
            <c:numRef>
              <c:f>'Anexos Cono'!$AH$94:$AH$95</c:f>
              <c:numCache>
                <c:formatCode>0</c:formatCode>
                <c:ptCount val="2"/>
                <c:pt idx="0" formatCode="General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13-4F62-8E0E-FAEEEF0B3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48112"/>
        <c:axId val="591452048"/>
      </c:scatterChart>
      <c:valAx>
        <c:axId val="591448112"/>
        <c:scaling>
          <c:orientation val="minMax"/>
          <c:min val="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1452048"/>
        <c:crosses val="autoZero"/>
        <c:crossBetween val="midCat"/>
      </c:valAx>
      <c:valAx>
        <c:axId val="59145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144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Cono'!$U$14:$U$25</c:f>
              <c:numCache>
                <c:formatCode>0</c:formatCode>
                <c:ptCount val="12"/>
                <c:pt idx="0">
                  <c:v>38.926174496644329</c:v>
                </c:pt>
                <c:pt idx="3">
                  <c:v>40.86538461538462</c:v>
                </c:pt>
                <c:pt idx="6">
                  <c:v>42.926829268292671</c:v>
                </c:pt>
                <c:pt idx="9">
                  <c:v>46.739130434782624</c:v>
                </c:pt>
              </c:numCache>
            </c:numRef>
          </c:xVal>
          <c:yVal>
            <c:numRef>
              <c:f>'Anexos Cono'!$Q$14:$Q$25</c:f>
              <c:numCache>
                <c:formatCode>0.0</c:formatCode>
                <c:ptCount val="12"/>
                <c:pt idx="0">
                  <c:v>13.9</c:v>
                </c:pt>
                <c:pt idx="3">
                  <c:v>15.9</c:v>
                </c:pt>
                <c:pt idx="6">
                  <c:v>17.899999999999999</c:v>
                </c:pt>
                <c:pt idx="9">
                  <c:v>21.25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A5F-4E71-8E7C-8547363C8CEE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Cono'!$AP$47</c:f>
              <c:numCache>
                <c:formatCode>0</c:formatCode>
                <c:ptCount val="1"/>
                <c:pt idx="0">
                  <c:v>45.313067053775377</c:v>
                </c:pt>
              </c:numCache>
            </c:numRef>
          </c:xVal>
          <c:yVal>
            <c:numRef>
              <c:f>'Anexos Cono'!$AO$47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0C-4A3E-9F02-F437CB276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Cono'!$AP$46:$AP$47</c:f>
              <c:numCache>
                <c:formatCode>0</c:formatCode>
                <c:ptCount val="2"/>
                <c:pt idx="0">
                  <c:v>45.313067053775377</c:v>
                </c:pt>
                <c:pt idx="1">
                  <c:v>45.313067053775377</c:v>
                </c:pt>
              </c:numCache>
            </c:numRef>
          </c:xVal>
          <c:yVal>
            <c:numRef>
              <c:f>'Anexos Cono'!$AO$46:$AO$47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0C-4A3E-9F02-F437CB276969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Cono'!$AP$47:$AP$48</c:f>
              <c:numCache>
                <c:formatCode>0</c:formatCode>
                <c:ptCount val="2"/>
                <c:pt idx="0">
                  <c:v>45.313067053775377</c:v>
                </c:pt>
                <c:pt idx="1">
                  <c:v>0</c:v>
                </c:pt>
              </c:numCache>
            </c:numRef>
          </c:xVal>
          <c:yVal>
            <c:numRef>
              <c:f>'Anexos Cono'!$AO$47:$AO$48</c:f>
              <c:numCache>
                <c:formatCode>0.0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0C-4A3E-9F02-F437CB276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ax val="47"/>
          <c:min val="3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</a:t>
                </a:r>
                <a:r>
                  <a:rPr lang="en-US" b="0" baseline="0"/>
                  <a:t> Humedad</a:t>
                </a:r>
                <a:endParaRPr lang="en-US" b="0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  <c:majorUnit val="1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Penetración mm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Cono'!$U$106:$U$117</c:f>
              <c:numCache>
                <c:formatCode>0</c:formatCode>
                <c:ptCount val="12"/>
                <c:pt idx="0">
                  <c:v>41.481481481481438</c:v>
                </c:pt>
                <c:pt idx="3">
                  <c:v>40.740740740740762</c:v>
                </c:pt>
                <c:pt idx="6">
                  <c:v>43.650793650793645</c:v>
                </c:pt>
                <c:pt idx="9">
                  <c:v>46.956521739130423</c:v>
                </c:pt>
              </c:numCache>
            </c:numRef>
          </c:xVal>
          <c:yVal>
            <c:numRef>
              <c:f>'Anexos Cono'!$Q$106:$Q$117</c:f>
              <c:numCache>
                <c:formatCode>0.0</c:formatCode>
                <c:ptCount val="12"/>
                <c:pt idx="0">
                  <c:v>17.3</c:v>
                </c:pt>
                <c:pt idx="3">
                  <c:v>17.399999999999999</c:v>
                </c:pt>
                <c:pt idx="6">
                  <c:v>19.049999999999997</c:v>
                </c:pt>
                <c:pt idx="9">
                  <c:v>21.9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8D-4DC1-8CF9-9A9CB9658A19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Cono'!$AN$139</c:f>
              <c:numCache>
                <c:formatCode>0.0000</c:formatCode>
                <c:ptCount val="1"/>
                <c:pt idx="0">
                  <c:v>44.633909598887698</c:v>
                </c:pt>
              </c:numCache>
            </c:numRef>
          </c:xVal>
          <c:yVal>
            <c:numRef>
              <c:f>'Anexos Cono'!$AO$139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C4-45C0-A359-E93FB400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0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Cono'!$AN$138:$AN$139</c:f>
              <c:numCache>
                <c:formatCode>0.0000</c:formatCode>
                <c:ptCount val="2"/>
                <c:pt idx="0">
                  <c:v>44.633909598887698</c:v>
                </c:pt>
                <c:pt idx="1">
                  <c:v>44.633909598887698</c:v>
                </c:pt>
              </c:numCache>
            </c:numRef>
          </c:xVal>
          <c:yVal>
            <c:numRef>
              <c:f>'Anexos Cono'!$AO$138:$AO$139</c:f>
              <c:numCache>
                <c:formatCode>0.0</c:formatCode>
                <c:ptCount val="2"/>
                <c:pt idx="0" formatCode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C4-45C0-A359-E93FB400C052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Cono'!$AN$139:$AN$140</c:f>
              <c:numCache>
                <c:formatCode>0.000</c:formatCode>
                <c:ptCount val="2"/>
                <c:pt idx="0" formatCode="0.0000">
                  <c:v>44.633909598887698</c:v>
                </c:pt>
                <c:pt idx="1">
                  <c:v>0</c:v>
                </c:pt>
              </c:numCache>
            </c:numRef>
          </c:xVal>
          <c:yVal>
            <c:numRef>
              <c:f>'Anexos Cono'!$AO$139:$AO$140</c:f>
              <c:numCache>
                <c:formatCode>0</c:formatCode>
                <c:ptCount val="2"/>
                <c:pt idx="0" formatCode="0.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C4-45C0-A359-E93FB400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Humedad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Penetración mm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Cono'!$U$152:$U$163</c:f>
              <c:numCache>
                <c:formatCode>0</c:formatCode>
                <c:ptCount val="12"/>
                <c:pt idx="0">
                  <c:v>38.524590163934462</c:v>
                </c:pt>
                <c:pt idx="3">
                  <c:v>41.129032258064591</c:v>
                </c:pt>
                <c:pt idx="6">
                  <c:v>43.292682926829215</c:v>
                </c:pt>
                <c:pt idx="9">
                  <c:v>44.705882352941231</c:v>
                </c:pt>
              </c:numCache>
            </c:numRef>
          </c:xVal>
          <c:yVal>
            <c:numRef>
              <c:f>'Anexos Cono'!$Q$152:$Q$163</c:f>
              <c:numCache>
                <c:formatCode>0.0</c:formatCode>
                <c:ptCount val="12"/>
                <c:pt idx="0">
                  <c:v>14.05</c:v>
                </c:pt>
                <c:pt idx="3">
                  <c:v>15.4</c:v>
                </c:pt>
                <c:pt idx="6">
                  <c:v>18.75</c:v>
                </c:pt>
                <c:pt idx="9">
                  <c:v>20.450000000000003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1C-4E34-A17E-4E51B93331E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Cono'!$AM$185</c:f>
              <c:numCache>
                <c:formatCode>0.000</c:formatCode>
                <c:ptCount val="1"/>
                <c:pt idx="0">
                  <c:v>44.568675149700603</c:v>
                </c:pt>
              </c:numCache>
            </c:numRef>
          </c:xVal>
          <c:yVal>
            <c:numRef>
              <c:f>'Anexos Cono'!$AN$185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23-470B-85DB-596A06F7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Cono'!$AM$184:$AM$185</c:f>
              <c:numCache>
                <c:formatCode>0.000</c:formatCode>
                <c:ptCount val="2"/>
                <c:pt idx="0">
                  <c:v>44.568675149700603</c:v>
                </c:pt>
                <c:pt idx="1">
                  <c:v>44.568675149700603</c:v>
                </c:pt>
              </c:numCache>
            </c:numRef>
          </c:xVal>
          <c:yVal>
            <c:numRef>
              <c:f>'Anexos Cono'!$AN$184:$AN$185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23-470B-85DB-596A06F7D6A8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Cono'!$AM$185:$AM$186</c:f>
              <c:numCache>
                <c:formatCode>0.000</c:formatCode>
                <c:ptCount val="2"/>
                <c:pt idx="0">
                  <c:v>44.568675149700603</c:v>
                </c:pt>
                <c:pt idx="1">
                  <c:v>0</c:v>
                </c:pt>
              </c:numCache>
            </c:numRef>
          </c:xVal>
          <c:yVal>
            <c:numRef>
              <c:f>'Anexos Cono'!$AN$185:$AN$186</c:f>
              <c:numCache>
                <c:formatCode>0</c:formatCode>
                <c:ptCount val="2"/>
                <c:pt idx="0" formatCode="0.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23-470B-85DB-596A06F7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valAx>
        <c:axId val="543410968"/>
        <c:scaling>
          <c:orientation val="minMax"/>
          <c:max val="45"/>
          <c:min val="3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09656"/>
        <c:crosses val="autoZero"/>
        <c:crossBetween val="midCat"/>
        <c:majorUnit val="1"/>
      </c:valAx>
      <c:valAx>
        <c:axId val="54340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1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Cono'!$U$60:$U$71</c:f>
              <c:numCache>
                <c:formatCode>0</c:formatCode>
                <c:ptCount val="12"/>
                <c:pt idx="0">
                  <c:v>38.271604938271629</c:v>
                </c:pt>
                <c:pt idx="3">
                  <c:v>42.222222222222229</c:v>
                </c:pt>
                <c:pt idx="6">
                  <c:v>43.902439024390219</c:v>
                </c:pt>
                <c:pt idx="9">
                  <c:v>47.169811320754704</c:v>
                </c:pt>
              </c:numCache>
            </c:numRef>
          </c:xVal>
          <c:yVal>
            <c:numRef>
              <c:f>'Anexos Cono'!$Q$60:$Q$71</c:f>
              <c:numCache>
                <c:formatCode>0.0</c:formatCode>
                <c:ptCount val="12"/>
                <c:pt idx="0">
                  <c:v>14.100000000000001</c:v>
                </c:pt>
                <c:pt idx="3">
                  <c:v>15.95</c:v>
                </c:pt>
                <c:pt idx="6">
                  <c:v>17.950000000000003</c:v>
                </c:pt>
                <c:pt idx="9">
                  <c:v>23.299999999999997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F9-4C98-B776-27B8DAC9428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Cono'!$AN$94</c:f>
              <c:numCache>
                <c:formatCode>0.000</c:formatCode>
                <c:ptCount val="1"/>
                <c:pt idx="0">
                  <c:v>45.020551967116845</c:v>
                </c:pt>
              </c:numCache>
            </c:numRef>
          </c:xVal>
          <c:yVal>
            <c:numRef>
              <c:f>'Anexos Cono'!$AO$94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EE-4B10-A4C6-FD994DA7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48112"/>
        <c:axId val="59145204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Cono'!$AN$93:$AN$94</c:f>
              <c:numCache>
                <c:formatCode>0.000</c:formatCode>
                <c:ptCount val="2"/>
                <c:pt idx="0">
                  <c:v>45.020551967116845</c:v>
                </c:pt>
                <c:pt idx="1">
                  <c:v>45.020551967116845</c:v>
                </c:pt>
              </c:numCache>
            </c:numRef>
          </c:xVal>
          <c:yVal>
            <c:numRef>
              <c:f>'Anexos Cono'!$AO$93:$AO$94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EE-4B10-A4C6-FD994DA73458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Cono'!$AN$94:$AN$95</c:f>
              <c:numCache>
                <c:formatCode>0.000</c:formatCode>
                <c:ptCount val="2"/>
                <c:pt idx="0">
                  <c:v>45.020551967116845</c:v>
                </c:pt>
                <c:pt idx="1">
                  <c:v>0</c:v>
                </c:pt>
              </c:numCache>
            </c:numRef>
          </c:xVal>
          <c:yVal>
            <c:numRef>
              <c:f>'Anexos Cono'!$AO$94:$AO$95</c:f>
              <c:numCache>
                <c:formatCode>0</c:formatCode>
                <c:ptCount val="2"/>
                <c:pt idx="0" formatCode="General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EE-4B10-A4C6-FD994DA7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48112"/>
        <c:axId val="591452048"/>
      </c:scatterChart>
      <c:valAx>
        <c:axId val="591448112"/>
        <c:scaling>
          <c:orientation val="minMax"/>
          <c:max val="48"/>
          <c:min val="3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1452048"/>
        <c:crosses val="autoZero"/>
        <c:crossBetween val="midCat"/>
        <c:majorUnit val="1"/>
      </c:valAx>
      <c:valAx>
        <c:axId val="59145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144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'A1 clasificacion'!$H$51:$H$53</c:f>
              <c:numCache>
                <c:formatCode>General</c:formatCode>
                <c:ptCount val="3"/>
                <c:pt idx="0">
                  <c:v>32</c:v>
                </c:pt>
                <c:pt idx="1">
                  <c:v>24</c:v>
                </c:pt>
                <c:pt idx="2">
                  <c:v>21</c:v>
                </c:pt>
              </c:numCache>
            </c:numRef>
          </c:xVal>
          <c:yVal>
            <c:numRef>
              <c:f>'A1 clasificacion'!$L$51:$L$53</c:f>
              <c:numCache>
                <c:formatCode>0</c:formatCode>
                <c:ptCount val="3"/>
                <c:pt idx="0">
                  <c:v>40.380000000000003</c:v>
                </c:pt>
                <c:pt idx="1">
                  <c:v>41</c:v>
                </c:pt>
                <c:pt idx="2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40-4633-B19F-78E72724D3F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'A1 clasificacion'!$J$92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'A1 clasificacion'!$K$92</c:f>
              <c:numCache>
                <c:formatCode>General</c:formatCode>
                <c:ptCount val="1"/>
                <c:pt idx="0">
                  <c:v>41.394295380738072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02-4389-A099-9F6D6EA8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'A1 clasificacion'!$J$91:$J$92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'A1 clasificacion'!$K$91:$K$92</c:f>
              <c:numCache>
                <c:formatCode>General</c:formatCode>
                <c:ptCount val="2"/>
                <c:pt idx="0">
                  <c:v>41.394295380738072</c:v>
                </c:pt>
                <c:pt idx="1">
                  <c:v>41.394295380738072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02-4389-A099-9F6D6EA82C5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02-4389-A099-9F6D6EA82C5B}"/>
              </c:ext>
            </c:extLst>
          </c:dPt>
          <c:xVal>
            <c:numRef>
              <c:f>'A1 clasificacion'!$J$92:$J$93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'A1 clasificacion'!$K$92:$K$93</c:f>
              <c:numCache>
                <c:formatCode>General</c:formatCode>
                <c:ptCount val="2"/>
                <c:pt idx="0">
                  <c:v>41.394295380738072</c:v>
                </c:pt>
                <c:pt idx="1">
                  <c:v>0.39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02-4389-A099-9F6D6EA8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valAx>
        <c:axId val="38430882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golpes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4560"/>
        <c:crosses val="autoZero"/>
        <c:crossBetween val="midCat"/>
      </c:valAx>
      <c:valAx>
        <c:axId val="38430456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 hummedad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882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Cono'!$U$198:$U$209</c:f>
              <c:numCache>
                <c:formatCode>0</c:formatCode>
                <c:ptCount val="12"/>
                <c:pt idx="0">
                  <c:v>43.362831858407077</c:v>
                </c:pt>
                <c:pt idx="3">
                  <c:v>43.689320388349529</c:v>
                </c:pt>
                <c:pt idx="6">
                  <c:v>44.827586206896527</c:v>
                </c:pt>
                <c:pt idx="9">
                  <c:v>48.108108108108141</c:v>
                </c:pt>
              </c:numCache>
            </c:numRef>
          </c:xVal>
          <c:yVal>
            <c:numRef>
              <c:f>'Anexos Cono'!$Q$198:$Q$209</c:f>
              <c:numCache>
                <c:formatCode>0.0</c:formatCode>
                <c:ptCount val="12"/>
                <c:pt idx="0">
                  <c:v>18.45</c:v>
                </c:pt>
                <c:pt idx="3">
                  <c:v>19.149999999999999</c:v>
                </c:pt>
                <c:pt idx="6">
                  <c:v>20.149999999999999</c:v>
                </c:pt>
                <c:pt idx="9">
                  <c:v>23.4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63-44DF-88AB-ADB2B7FE45A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Cono'!$R$231</c:f>
              <c:numCache>
                <c:formatCode>0.0000</c:formatCode>
                <c:ptCount val="1"/>
                <c:pt idx="0">
                  <c:v>44.712712116701404</c:v>
                </c:pt>
              </c:numCache>
            </c:numRef>
          </c:xVal>
          <c:yVal>
            <c:numRef>
              <c:f>'Anexos Cono'!$S$231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C9-4B01-82C7-39A066FF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Cono'!$R$230:$R$231</c:f>
              <c:numCache>
                <c:formatCode>0.0000</c:formatCode>
                <c:ptCount val="2"/>
                <c:pt idx="0">
                  <c:v>44.712712116701404</c:v>
                </c:pt>
                <c:pt idx="1">
                  <c:v>44.712712116701404</c:v>
                </c:pt>
              </c:numCache>
            </c:numRef>
          </c:xVal>
          <c:yVal>
            <c:numRef>
              <c:f>'Anexos Cono'!$S$230:$S$231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C9-4B01-82C7-39A066FFDEC5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Cono'!$R$231:$R$232</c:f>
              <c:numCache>
                <c:formatCode>0.0000</c:formatCode>
                <c:ptCount val="2"/>
                <c:pt idx="0">
                  <c:v>44.712712116701404</c:v>
                </c:pt>
                <c:pt idx="1">
                  <c:v>0</c:v>
                </c:pt>
              </c:numCache>
            </c:numRef>
          </c:xVal>
          <c:yVal>
            <c:numRef>
              <c:f>'Anexos Cono'!$S$231:$S$232</c:f>
              <c:numCache>
                <c:formatCode>0</c:formatCode>
                <c:ptCount val="2"/>
                <c:pt idx="0" formatCode="General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C9-4B01-82C7-39A066FF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valAx>
        <c:axId val="543410968"/>
        <c:scaling>
          <c:orientation val="minMax"/>
          <c:min val="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09656"/>
        <c:crosses val="autoZero"/>
        <c:crossBetween val="midCat"/>
      </c:valAx>
      <c:valAx>
        <c:axId val="54340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1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Cono'!$G$336:$G$347</c:f>
              <c:numCache>
                <c:formatCode>0</c:formatCode>
                <c:ptCount val="12"/>
                <c:pt idx="0">
                  <c:v>53.571428571428555</c:v>
                </c:pt>
                <c:pt idx="3">
                  <c:v>55.033557046979887</c:v>
                </c:pt>
                <c:pt idx="6">
                  <c:v>56.969696969696962</c:v>
                </c:pt>
                <c:pt idx="9">
                  <c:v>58.333333333333329</c:v>
                </c:pt>
              </c:numCache>
            </c:numRef>
          </c:xVal>
          <c:yVal>
            <c:numRef>
              <c:f>'Anexos Cono'!$C$336:$C$347</c:f>
              <c:numCache>
                <c:formatCode>0.0</c:formatCode>
                <c:ptCount val="12"/>
                <c:pt idx="0">
                  <c:v>18.049999999999997</c:v>
                </c:pt>
                <c:pt idx="3">
                  <c:v>19.25</c:v>
                </c:pt>
                <c:pt idx="6">
                  <c:v>22.366666666666664</c:v>
                </c:pt>
                <c:pt idx="9">
                  <c:v>22.05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C9-4254-ABEC-D1196E3B28F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'Anexos Cono'!$E$369</c:f>
              <c:numCache>
                <c:formatCode>0.000</c:formatCode>
                <c:ptCount val="1"/>
                <c:pt idx="0">
                  <c:v>55.525555497189686</c:v>
                </c:pt>
              </c:numCache>
            </c:numRef>
          </c:xVal>
          <c:yVal>
            <c:numRef>
              <c:f>'Anexos Cono'!$F$369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7A-422F-8682-E71138A60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Cono'!$E$368:$E$369</c:f>
              <c:numCache>
                <c:formatCode>0.000</c:formatCode>
                <c:ptCount val="2"/>
                <c:pt idx="0">
                  <c:v>55.525555497189686</c:v>
                </c:pt>
                <c:pt idx="1">
                  <c:v>55.525555497189686</c:v>
                </c:pt>
              </c:numCache>
            </c:numRef>
          </c:xVal>
          <c:yVal>
            <c:numRef>
              <c:f>'Anexos Cono'!$F$368:$F$369</c:f>
              <c:numCache>
                <c:formatCode>0.0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7A-422F-8682-E71138A60D1C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Cono'!$E$369:$E$370</c:f>
              <c:numCache>
                <c:formatCode>0.0</c:formatCode>
                <c:ptCount val="2"/>
                <c:pt idx="0" formatCode="0.000">
                  <c:v>55.525555497189686</c:v>
                </c:pt>
                <c:pt idx="1">
                  <c:v>0.5</c:v>
                </c:pt>
              </c:numCache>
            </c:numRef>
          </c:xVal>
          <c:yVal>
            <c:numRef>
              <c:f>'Anexos Cono'!$F$369:$F$370</c:f>
              <c:numCache>
                <c:formatCode>0.0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7A-422F-8682-E71138A60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10968"/>
        <c:axId val="543409656"/>
      </c:scatterChart>
      <c:valAx>
        <c:axId val="543410968"/>
        <c:scaling>
          <c:orientation val="minMax"/>
          <c:max val="59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09656"/>
        <c:crosses val="autoZero"/>
        <c:crossBetween val="midCat"/>
        <c:majorUnit val="1"/>
      </c:valAx>
      <c:valAx>
        <c:axId val="54340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Penetración</a:t>
                </a:r>
                <a:r>
                  <a:rPr lang="en-US" baseline="0"/>
                  <a:t> mm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4341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'Anexos Cono'!$N$198:$N$209</c:f>
              <c:numCache>
                <c:formatCode>0</c:formatCode>
                <c:ptCount val="12"/>
                <c:pt idx="0">
                  <c:v>43.956043956043949</c:v>
                </c:pt>
                <c:pt idx="3">
                  <c:v>46.938775510204081</c:v>
                </c:pt>
                <c:pt idx="6">
                  <c:v>49.038461538461561</c:v>
                </c:pt>
                <c:pt idx="9">
                  <c:v>52.298850574712596</c:v>
                </c:pt>
              </c:numCache>
            </c:numRef>
          </c:xVal>
          <c:yVal>
            <c:numRef>
              <c:f>'Anexos Cono'!$J$198:$J$209</c:f>
              <c:numCache>
                <c:formatCode>0.0</c:formatCode>
                <c:ptCount val="12"/>
                <c:pt idx="0">
                  <c:v>14.7</c:v>
                </c:pt>
                <c:pt idx="3">
                  <c:v>16.3</c:v>
                </c:pt>
                <c:pt idx="6">
                  <c:v>18.399999999999999</c:v>
                </c:pt>
                <c:pt idx="9">
                  <c:v>22.55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B3-4B87-9A6B-CF52B73EA288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'Anexos Cono'!$L$231</c:f>
              <c:numCache>
                <c:formatCode>0.0000</c:formatCode>
                <c:ptCount val="1"/>
                <c:pt idx="0">
                  <c:v>50.17865612648221</c:v>
                </c:pt>
              </c:numCache>
            </c:numRef>
          </c:xVal>
          <c:yVal>
            <c:numRef>
              <c:f>'Anexos Cono'!$M$231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81-4C17-9690-B24CB84E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Cono'!$L$230:$L$231</c:f>
              <c:numCache>
                <c:formatCode>0.0000</c:formatCode>
                <c:ptCount val="2"/>
                <c:pt idx="0">
                  <c:v>50.17865612648221</c:v>
                </c:pt>
                <c:pt idx="1">
                  <c:v>50.17865612648221</c:v>
                </c:pt>
              </c:numCache>
            </c:numRef>
          </c:xVal>
          <c:yVal>
            <c:numRef>
              <c:f>'Anexos Cono'!$M$230:$M$231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81-4C17-9690-B24CB84E68D5}"/>
            </c:ext>
          </c:extLst>
        </c:ser>
        <c:ser>
          <c:idx val="2"/>
          <c:order val="2"/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'Anexos Cono'!$L$231:$L$232</c:f>
              <c:numCache>
                <c:formatCode>0.0000</c:formatCode>
                <c:ptCount val="2"/>
                <c:pt idx="0">
                  <c:v>50.17865612648221</c:v>
                </c:pt>
                <c:pt idx="1">
                  <c:v>0</c:v>
                </c:pt>
              </c:numCache>
            </c:numRef>
          </c:xVal>
          <c:yVal>
            <c:numRef>
              <c:f>'Anexos Cono'!$M$231:$M$232</c:f>
              <c:numCache>
                <c:formatCode>0</c:formatCode>
                <c:ptCount val="2"/>
                <c:pt idx="0" formatCode="General">
                  <c:v>20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81-4C17-9690-B24CB84E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33008"/>
        <c:axId val="492333336"/>
      </c:scatterChart>
      <c:valAx>
        <c:axId val="492333008"/>
        <c:scaling>
          <c:orientation val="minMax"/>
          <c:min val="4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</a:t>
                </a:r>
                <a:r>
                  <a:rPr lang="en-US" b="0" baseline="0"/>
                  <a:t> Humedad</a:t>
                </a:r>
                <a:endParaRPr lang="en-US" b="0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336"/>
        <c:crosses val="autoZero"/>
        <c:crossBetween val="midCat"/>
        <c:majorUnit val="1"/>
      </c:valAx>
      <c:valAx>
        <c:axId val="4923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Penetración</a:t>
                </a:r>
                <a:r>
                  <a:rPr lang="en-US" b="0" baseline="0"/>
                  <a:t> mm</a:t>
                </a:r>
                <a:endParaRPr lang="en-US" b="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2333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Curva Granulométrica</a:t>
            </a:r>
            <a:endParaRPr lang="en-US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3.8819335083114609E-2"/>
          <c:y val="0.14393518518518519"/>
          <c:w val="0.81660875556888057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'A1 clasificacion'!$N$15:$N$27</c:f>
              <c:numCache>
                <c:formatCode>General</c:formatCode>
                <c:ptCount val="13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19.05</c:v>
                </c:pt>
                <c:pt idx="6">
                  <c:v>12.7</c:v>
                </c:pt>
                <c:pt idx="7">
                  <c:v>9.5250000000000004</c:v>
                </c:pt>
                <c:pt idx="8">
                  <c:v>4.75</c:v>
                </c:pt>
                <c:pt idx="9">
                  <c:v>4.75</c:v>
                </c:pt>
                <c:pt idx="10">
                  <c:v>2</c:v>
                </c:pt>
                <c:pt idx="11">
                  <c:v>0.42499999999999999</c:v>
                </c:pt>
                <c:pt idx="12">
                  <c:v>7.4999999999999997E-2</c:v>
                </c:pt>
              </c:numCache>
            </c:numRef>
          </c:xVal>
          <c:yVal>
            <c:numRef>
              <c:f>'A1 clasificacion'!$R$15:$R$27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0.98950000000000005</c:v>
                </c:pt>
                <c:pt idx="9">
                  <c:v>0.98952095808383234</c:v>
                </c:pt>
                <c:pt idx="10">
                  <c:v>0.97654690618762474</c:v>
                </c:pt>
                <c:pt idx="11">
                  <c:v>0.93812375249501001</c:v>
                </c:pt>
                <c:pt idx="12">
                  <c:v>0.87624750499002002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59-4ECB-86CD-1F021734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valAx>
        <c:axId val="3843088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Apertura tamices en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4560"/>
        <c:crosses val="autoZero"/>
        <c:crossBetween val="midCat"/>
      </c:valAx>
      <c:valAx>
        <c:axId val="3843045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Porcentaje que pasa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88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'A1 clasificacion'!$N$51:$N$53</c:f>
              <c:numCache>
                <c:formatCode>General</c:formatCode>
                <c:ptCount val="3"/>
                <c:pt idx="0">
                  <c:v>32</c:v>
                </c:pt>
                <c:pt idx="1">
                  <c:v>27</c:v>
                </c:pt>
                <c:pt idx="2">
                  <c:v>21</c:v>
                </c:pt>
              </c:numCache>
            </c:numRef>
          </c:xVal>
          <c:yVal>
            <c:numRef>
              <c:f>'A1 clasificacion'!$R$51:$R$53</c:f>
              <c:numCache>
                <c:formatCode>0</c:formatCode>
                <c:ptCount val="3"/>
                <c:pt idx="0">
                  <c:v>33.450000000000003</c:v>
                </c:pt>
                <c:pt idx="1">
                  <c:v>34.200000000000003</c:v>
                </c:pt>
                <c:pt idx="2">
                  <c:v>36.090000000000003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2B-4592-A1F6-A1878DA7DCDB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'A1 clasificacion'!$O$92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'A1 clasificacion'!$P$92</c:f>
              <c:numCache>
                <c:formatCode>General</c:formatCode>
                <c:ptCount val="1"/>
                <c:pt idx="0">
                  <c:v>34.779194720843506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A9-4052-9571-C62422B1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'A1 clasificacion'!$O$91:$O$92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'A1 clasificacion'!$P$91:$P$92</c:f>
              <c:numCache>
                <c:formatCode>General</c:formatCode>
                <c:ptCount val="2"/>
                <c:pt idx="0">
                  <c:v>34.779194720843506</c:v>
                </c:pt>
                <c:pt idx="1">
                  <c:v>34.779194720843506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A9-4052-9571-C62422B1E6F5}"/>
            </c:ext>
          </c:extLst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'A1 clasificacion'!$O$92:$O$93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'A1 clasificacion'!$P$92:$P$93</c:f>
              <c:numCache>
                <c:formatCode>General</c:formatCode>
                <c:ptCount val="2"/>
                <c:pt idx="0">
                  <c:v>34.779194720843506</c:v>
                </c:pt>
                <c:pt idx="1">
                  <c:v>0.32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A9-4052-9571-C62422B1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8824"/>
        <c:axId val="384304560"/>
      </c:scatterChart>
      <c:valAx>
        <c:axId val="384308824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golpes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4560"/>
        <c:crosses val="autoZero"/>
        <c:crossBetween val="midCat"/>
      </c:valAx>
      <c:valAx>
        <c:axId val="384304560"/>
        <c:scaling>
          <c:orientation val="minMax"/>
          <c:min val="3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 hummedad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430882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3797003499562555"/>
          <c:y val="0.12720290172061827"/>
          <c:w val="0.7976196412948382"/>
          <c:h val="0.72580635753864098"/>
        </c:manualLayout>
      </c:layout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Cuchara'!$D$41:$D$42</c:f>
              <c:numCache>
                <c:formatCode>0</c:formatCode>
                <c:ptCount val="2"/>
                <c:pt idx="0" formatCode="General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Cuchara'!$C$41:$C$42</c:f>
              <c:numCache>
                <c:formatCode>0.0000</c:formatCode>
                <c:ptCount val="2"/>
                <c:pt idx="0">
                  <c:v>53.019396040632635</c:v>
                </c:pt>
                <c:pt idx="1">
                  <c:v>53.019396040632635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FC7-4AA5-80E9-DF2A2F79237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Cuchara'!$D$42:$D$43</c:f>
              <c:numCache>
                <c:formatCode>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Cuchara'!$C$42:$C$43</c:f>
              <c:numCache>
                <c:formatCode>0</c:formatCode>
                <c:ptCount val="2"/>
                <c:pt idx="0" formatCode="0.0000">
                  <c:v>53.019396040632635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FC7-4AA5-80E9-DF2A2F79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140272"/>
        <c:axId val="420141256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[1]CUCHARA!$D$4:$D$6</c:f>
              <c:numCache>
                <c:formatCode>General</c:formatCode>
                <c:ptCount val="3"/>
                <c:pt idx="0">
                  <c:v>34</c:v>
                </c:pt>
                <c:pt idx="1">
                  <c:v>28</c:v>
                </c:pt>
                <c:pt idx="2">
                  <c:v>16</c:v>
                </c:pt>
              </c:numCache>
            </c:numRef>
          </c:xVal>
          <c:yVal>
            <c:numRef>
              <c:f>'Anexos Cuchara'!$F$15:$F$17</c:f>
              <c:numCache>
                <c:formatCode>0</c:formatCode>
                <c:ptCount val="3"/>
                <c:pt idx="0">
                  <c:v>50.80213903743315</c:v>
                </c:pt>
                <c:pt idx="1">
                  <c:v>53.846153846153847</c:v>
                </c:pt>
                <c:pt idx="2">
                  <c:v>54.97630331753551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63-45AD-97E5-022C2ABBFEA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'Anexos Cuchara'!$E$41</c:f>
              <c:numCache>
                <c:formatCode>0</c:formatCode>
                <c:ptCount val="1"/>
              </c:numCache>
            </c:numRef>
          </c:xVal>
          <c:yVal>
            <c:numRef>
              <c:f>'Anexos Cuchara'!$E$40</c:f>
              <c:numCache>
                <c:formatCode>0%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DE-4539-8EFE-8C08A6751312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alpha val="98000"/>
                </a:schemeClr>
              </a:solidFill>
              <a:ln w="19050">
                <a:solidFill>
                  <a:schemeClr val="accent5"/>
                </a:solidFill>
              </a:ln>
              <a:effectLst/>
            </c:spPr>
          </c:marker>
          <c:xVal>
            <c:numRef>
              <c:f>'Anexos Cuchara'!$D$42</c:f>
              <c:numCache>
                <c:formatCode>0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Cuchara'!$C$42</c:f>
              <c:numCache>
                <c:formatCode>0.0000</c:formatCode>
                <c:ptCount val="1"/>
                <c:pt idx="0">
                  <c:v>53.019396040632635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FC7-4AA5-80E9-DF2A2F79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140272"/>
        <c:axId val="420141256"/>
      </c:scatterChart>
      <c:valAx>
        <c:axId val="420140272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0141256"/>
        <c:crosses val="autoZero"/>
        <c:crossBetween val="midCat"/>
      </c:valAx>
      <c:valAx>
        <c:axId val="4201412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0140272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2056714785651794"/>
          <c:y val="0.12962962962962962"/>
          <c:w val="0.85009951881014878"/>
          <c:h val="0.73519320501603957"/>
        </c:manualLayout>
      </c:layout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Cuchara'!$C$85:$C$86</c:f>
              <c:numCache>
                <c:formatCode>0.000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Cuchara'!$D$85:$D$86</c:f>
              <c:numCache>
                <c:formatCode>0.00000</c:formatCode>
                <c:ptCount val="2"/>
                <c:pt idx="0">
                  <c:v>53.832248350263598</c:v>
                </c:pt>
                <c:pt idx="1">
                  <c:v>53.832248350263598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02-4676-AB3C-EDDC26D43FD8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A6-40B5-83FE-B1FE3E26B05F}"/>
              </c:ext>
            </c:extLst>
          </c:dPt>
          <c:xVal>
            <c:numRef>
              <c:f>'Anexos Cuchara'!$C$86:$C$87</c:f>
              <c:numCache>
                <c:formatCode>0</c:formatCode>
                <c:ptCount val="2"/>
                <c:pt idx="0" formatCode="0.00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Cuchara'!$D$86:$D$87</c:f>
              <c:numCache>
                <c:formatCode>0.00000</c:formatCode>
                <c:ptCount val="2"/>
                <c:pt idx="0">
                  <c:v>53.832248350263598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02-4676-AB3C-EDDC26D43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334872"/>
        <c:axId val="435347008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'Anexos Cuchara'!$B$59:$B$61</c:f>
              <c:numCache>
                <c:formatCode>General</c:formatCode>
                <c:ptCount val="3"/>
                <c:pt idx="0">
                  <c:v>35</c:v>
                </c:pt>
                <c:pt idx="1">
                  <c:v>25</c:v>
                </c:pt>
                <c:pt idx="2">
                  <c:v>21</c:v>
                </c:pt>
              </c:numCache>
            </c:numRef>
          </c:xVal>
          <c:yVal>
            <c:numRef>
              <c:f>'Anexos Cuchara'!$F$59:$F$61</c:f>
              <c:numCache>
                <c:formatCode>0</c:formatCode>
                <c:ptCount val="3"/>
                <c:pt idx="0">
                  <c:v>52.999999999999957</c:v>
                </c:pt>
                <c:pt idx="1">
                  <c:v>53.960396039603985</c:v>
                </c:pt>
                <c:pt idx="2">
                  <c:v>53.968253968253968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6D-4C3F-A201-444F61A096D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'Anexos Cuchara'!$E$84</c:f>
              <c:numCache>
                <c:formatCode>General</c:formatCode>
                <c:ptCount val="1"/>
              </c:numCache>
            </c:numRef>
          </c:xVal>
          <c:yVal>
            <c:numRef>
              <c:f>'Anexos Cuchara'!$D$85</c:f>
              <c:numCache>
                <c:formatCode>0.00000</c:formatCode>
                <c:ptCount val="1"/>
                <c:pt idx="0">
                  <c:v>53.832248350263598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92-49B1-BB53-0DB529802330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xVal>
            <c:numRef>
              <c:f>'Anexos Cuchara'!$C$86</c:f>
              <c:numCache>
                <c:formatCode>0.000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Cuchara'!$D$86</c:f>
              <c:numCache>
                <c:formatCode>0.00000</c:formatCode>
                <c:ptCount val="1"/>
                <c:pt idx="0">
                  <c:v>53.832248350263598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02-4676-AB3C-EDDC26D43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334872"/>
        <c:axId val="435347008"/>
      </c:scatterChart>
      <c:valAx>
        <c:axId val="435334872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golpes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5347008"/>
        <c:crosses val="autoZero"/>
        <c:crossBetween val="midCat"/>
      </c:valAx>
      <c:valAx>
        <c:axId val="435347008"/>
        <c:scaling>
          <c:orientation val="minMax"/>
          <c:max val="55"/>
          <c:min val="5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5334872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Límite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alpha val="98000"/>
                  </a:schemeClr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[1]CUCHARA!$D$11:$D$13</c:f>
              <c:numCache>
                <c:formatCode>General</c:formatCode>
                <c:ptCount val="3"/>
                <c:pt idx="0">
                  <c:v>30</c:v>
                </c:pt>
                <c:pt idx="1">
                  <c:v>26</c:v>
                </c:pt>
                <c:pt idx="2">
                  <c:v>21</c:v>
                </c:pt>
              </c:numCache>
            </c:numRef>
          </c:xVal>
          <c:yVal>
            <c:numRef>
              <c:f>'Anexos Cuchara'!$F$103:$F$105</c:f>
              <c:numCache>
                <c:formatCode>0</c:formatCode>
                <c:ptCount val="3"/>
                <c:pt idx="0">
                  <c:v>49.763033175355467</c:v>
                </c:pt>
                <c:pt idx="1">
                  <c:v>51.388888888888864</c:v>
                </c:pt>
                <c:pt idx="2">
                  <c:v>51.707317073170699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83-4926-9F01-DCE7934B8C0A}"/>
            </c:ext>
          </c:extLst>
        </c:ser>
        <c:ser>
          <c:idx val="4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'Anexos Cuchara'!$D$130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'Anexos Cuchara'!$E$130</c:f>
              <c:numCache>
                <c:formatCode>General</c:formatCode>
                <c:ptCount val="1"/>
                <c:pt idx="0">
                  <c:v>51.173733293172177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01-4841-8970-62D1BAB3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83416"/>
        <c:axId val="414183088"/>
      </c:scatterChart>
      <c:scatterChart>
        <c:scatterStyle val="smoothMarker"/>
        <c:varyColors val="0"/>
        <c:ser>
          <c:idx val="2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'Anexos Cuchara'!$D$129:$D$130</c:f>
              <c:numCache>
                <c:formatCode>General</c:formatCode>
                <c:ptCount val="2"/>
                <c:pt idx="0">
                  <c:v>10</c:v>
                </c:pt>
                <c:pt idx="1">
                  <c:v>25</c:v>
                </c:pt>
              </c:numCache>
            </c:numRef>
          </c:xVal>
          <c:yVal>
            <c:numRef>
              <c:f>'Anexos Cuchara'!$E$129:$E$130</c:f>
              <c:numCache>
                <c:formatCode>General</c:formatCode>
                <c:ptCount val="2"/>
                <c:pt idx="0">
                  <c:v>51.173733293172177</c:v>
                </c:pt>
                <c:pt idx="1">
                  <c:v>51.173733293172177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841-8970-62D1BAB31251}"/>
            </c:ext>
          </c:extLst>
        </c:ser>
        <c:ser>
          <c:idx val="3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92-4D5C-BB92-85D8C6869193}"/>
              </c:ext>
            </c:extLst>
          </c:dPt>
          <c:xVal>
            <c:numRef>
              <c:f>'Anexos Cuchara'!$D$130:$D$131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'Anexos Cuchara'!$E$130:$E$131</c:f>
              <c:numCache>
                <c:formatCode>General</c:formatCode>
                <c:ptCount val="2"/>
                <c:pt idx="0">
                  <c:v>51.173733293172177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01-4841-8970-62D1BAB3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83416"/>
        <c:axId val="414183088"/>
      </c:scatterChart>
      <c:valAx>
        <c:axId val="414183416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golpes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4183088"/>
        <c:crosses val="autoZero"/>
        <c:crossBetween val="midCat"/>
      </c:valAx>
      <c:valAx>
        <c:axId val="414183088"/>
        <c:scaling>
          <c:orientation val="minMax"/>
          <c:max val="52"/>
          <c:min val="4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Humedad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41834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31</xdr:row>
      <xdr:rowOff>0</xdr:rowOff>
    </xdr:from>
    <xdr:to>
      <xdr:col>5</xdr:col>
      <xdr:colOff>723899</xdr:colOff>
      <xdr:row>45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5CF646-56E2-4BDE-AE10-B46C66B3C0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61</xdr:row>
      <xdr:rowOff>9525</xdr:rowOff>
    </xdr:from>
    <xdr:to>
      <xdr:col>5</xdr:col>
      <xdr:colOff>600075</xdr:colOff>
      <xdr:row>75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FBA546-E09F-4CB4-8306-AA1505810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209549</xdr:colOff>
      <xdr:row>31</xdr:row>
      <xdr:rowOff>0</xdr:rowOff>
    </xdr:from>
    <xdr:to>
      <xdr:col>11</xdr:col>
      <xdr:colOff>723899</xdr:colOff>
      <xdr:row>45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69FE9CE-F92D-4E3D-B4A5-A0519A788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266700</xdr:colOff>
      <xdr:row>61</xdr:row>
      <xdr:rowOff>9525</xdr:rowOff>
    </xdr:from>
    <xdr:to>
      <xdr:col>11</xdr:col>
      <xdr:colOff>600075</xdr:colOff>
      <xdr:row>75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3309C9C-231A-4DBE-8CBF-B6B3C22F3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209549</xdr:colOff>
      <xdr:row>31</xdr:row>
      <xdr:rowOff>0</xdr:rowOff>
    </xdr:from>
    <xdr:to>
      <xdr:col>17</xdr:col>
      <xdr:colOff>723899</xdr:colOff>
      <xdr:row>45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968BDD9-0BC6-4482-BA1D-2C10A6F27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266700</xdr:colOff>
      <xdr:row>61</xdr:row>
      <xdr:rowOff>9525</xdr:rowOff>
    </xdr:from>
    <xdr:to>
      <xdr:col>17</xdr:col>
      <xdr:colOff>600075</xdr:colOff>
      <xdr:row>75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8E5739F-1BAD-4FB2-B5A4-ADD0FF116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19</xdr:row>
      <xdr:rowOff>171449</xdr:rowOff>
    </xdr:from>
    <xdr:to>
      <xdr:col>5</xdr:col>
      <xdr:colOff>571500</xdr:colOff>
      <xdr:row>34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587DC8-24C0-4F1D-BC39-2A08C8C4A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223835</xdr:colOff>
      <xdr:row>64</xdr:row>
      <xdr:rowOff>0</xdr:rowOff>
    </xdr:from>
    <xdr:to>
      <xdr:col>5</xdr:col>
      <xdr:colOff>557210</xdr:colOff>
      <xdr:row>78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2E74E27-D589-4D1C-AD6F-7D25980B8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108</xdr:row>
      <xdr:rowOff>9523</xdr:rowOff>
    </xdr:from>
    <xdr:to>
      <xdr:col>5</xdr:col>
      <xdr:colOff>561975</xdr:colOff>
      <xdr:row>122</xdr:row>
      <xdr:rowOff>85723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1C9008C-2DA7-48E9-B819-81893DB6F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152</xdr:row>
      <xdr:rowOff>28574</xdr:rowOff>
    </xdr:from>
    <xdr:to>
      <xdr:col>5</xdr:col>
      <xdr:colOff>581025</xdr:colOff>
      <xdr:row>166</xdr:row>
      <xdr:rowOff>104774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A6F6B7-2117-48DC-8A09-7F253F607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195</xdr:row>
      <xdr:rowOff>171450</xdr:rowOff>
    </xdr:from>
    <xdr:to>
      <xdr:col>5</xdr:col>
      <xdr:colOff>609600</xdr:colOff>
      <xdr:row>210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BAE8417-A210-493A-A9B9-CDF83FBE7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257174</xdr:colOff>
      <xdr:row>240</xdr:row>
      <xdr:rowOff>9526</xdr:rowOff>
    </xdr:from>
    <xdr:to>
      <xdr:col>5</xdr:col>
      <xdr:colOff>590549</xdr:colOff>
      <xdr:row>254</xdr:row>
      <xdr:rowOff>85726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2C4F6C0-8404-4C12-86DB-356C93DA7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200024</xdr:colOff>
      <xdr:row>283</xdr:row>
      <xdr:rowOff>190498</xdr:rowOff>
    </xdr:from>
    <xdr:to>
      <xdr:col>5</xdr:col>
      <xdr:colOff>533399</xdr:colOff>
      <xdr:row>298</xdr:row>
      <xdr:rowOff>76198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314679A-0B34-4CA1-8AEA-EE890DD43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247649</xdr:colOff>
      <xdr:row>327</xdr:row>
      <xdr:rowOff>190498</xdr:rowOff>
    </xdr:from>
    <xdr:to>
      <xdr:col>5</xdr:col>
      <xdr:colOff>581024</xdr:colOff>
      <xdr:row>342</xdr:row>
      <xdr:rowOff>76198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1D1656D-560D-43F5-A4A1-ACBD2B7AC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276904</xdr:colOff>
      <xdr:row>19</xdr:row>
      <xdr:rowOff>185057</xdr:rowOff>
    </xdr:from>
    <xdr:to>
      <xdr:col>11</xdr:col>
      <xdr:colOff>630690</xdr:colOff>
      <xdr:row>34</xdr:row>
      <xdr:rowOff>70757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1A7BABD-94FE-4384-87BC-82192B708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291192</xdr:colOff>
      <xdr:row>63</xdr:row>
      <xdr:rowOff>172811</xdr:rowOff>
    </xdr:from>
    <xdr:to>
      <xdr:col>11</xdr:col>
      <xdr:colOff>644978</xdr:colOff>
      <xdr:row>78</xdr:row>
      <xdr:rowOff>58511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D1D8672-FBEB-474C-B196-4D56931A4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263299</xdr:colOff>
      <xdr:row>107</xdr:row>
      <xdr:rowOff>185057</xdr:rowOff>
    </xdr:from>
    <xdr:to>
      <xdr:col>11</xdr:col>
      <xdr:colOff>617085</xdr:colOff>
      <xdr:row>122</xdr:row>
      <xdr:rowOff>70757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4D75735-2B7A-4E56-B0AE-171C35526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317726</xdr:colOff>
      <xdr:row>152</xdr:row>
      <xdr:rowOff>8163</xdr:rowOff>
    </xdr:from>
    <xdr:to>
      <xdr:col>11</xdr:col>
      <xdr:colOff>671512</xdr:colOff>
      <xdr:row>166</xdr:row>
      <xdr:rowOff>84363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2F5602C6-5138-4AE3-9275-239FCCC41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265338</xdr:colOff>
      <xdr:row>107</xdr:row>
      <xdr:rowOff>189137</xdr:rowOff>
    </xdr:from>
    <xdr:to>
      <xdr:col>17</xdr:col>
      <xdr:colOff>619123</xdr:colOff>
      <xdr:row>122</xdr:row>
      <xdr:rowOff>74837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1460CE3-E7CF-49B5-92CB-81629DFC6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253094</xdr:colOff>
      <xdr:row>63</xdr:row>
      <xdr:rowOff>186418</xdr:rowOff>
    </xdr:from>
    <xdr:to>
      <xdr:col>17</xdr:col>
      <xdr:colOff>606879</xdr:colOff>
      <xdr:row>78</xdr:row>
      <xdr:rowOff>72118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3B81F4FC-757B-4896-9A3E-2262E928D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250371</xdr:colOff>
      <xdr:row>19</xdr:row>
      <xdr:rowOff>178255</xdr:rowOff>
    </xdr:from>
    <xdr:to>
      <xdr:col>17</xdr:col>
      <xdr:colOff>604156</xdr:colOff>
      <xdr:row>34</xdr:row>
      <xdr:rowOff>63955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B7DDAC67-6166-4325-A2B9-082E6CD9D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259895</xdr:colOff>
      <xdr:row>196</xdr:row>
      <xdr:rowOff>10885</xdr:rowOff>
    </xdr:from>
    <xdr:to>
      <xdr:col>17</xdr:col>
      <xdr:colOff>613680</xdr:colOff>
      <xdr:row>210</xdr:row>
      <xdr:rowOff>87085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160968E0-4E90-4CB6-B8A3-930F38038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297995</xdr:colOff>
      <xdr:row>152</xdr:row>
      <xdr:rowOff>0</xdr:rowOff>
    </xdr:from>
    <xdr:to>
      <xdr:col>17</xdr:col>
      <xdr:colOff>651780</xdr:colOff>
      <xdr:row>166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FEEC80B-546D-427A-9A2F-A630674C9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317726</xdr:colOff>
      <xdr:row>196</xdr:row>
      <xdr:rowOff>8163</xdr:rowOff>
    </xdr:from>
    <xdr:to>
      <xdr:col>11</xdr:col>
      <xdr:colOff>671512</xdr:colOff>
      <xdr:row>210</xdr:row>
      <xdr:rowOff>84363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18A6362E-D18F-46B9-9158-20E3FB80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199347</xdr:colOff>
      <xdr:row>26</xdr:row>
      <xdr:rowOff>186417</xdr:rowOff>
    </xdr:from>
    <xdr:to>
      <xdr:col>6</xdr:col>
      <xdr:colOff>498704</xdr:colOff>
      <xdr:row>41</xdr:row>
      <xdr:rowOff>72117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D47032-6BCA-4F4F-9161-BCA9A72EB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249691</xdr:colOff>
      <xdr:row>119</xdr:row>
      <xdr:rowOff>8164</xdr:rowOff>
    </xdr:from>
    <xdr:to>
      <xdr:col>6</xdr:col>
      <xdr:colOff>549048</xdr:colOff>
      <xdr:row>133</xdr:row>
      <xdr:rowOff>84364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8F65A5-435D-4480-AC17-536E2F4AD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236764</xdr:colOff>
      <xdr:row>303</xdr:row>
      <xdr:rowOff>9525</xdr:rowOff>
    </xdr:from>
    <xdr:to>
      <xdr:col>6</xdr:col>
      <xdr:colOff>536121</xdr:colOff>
      <xdr:row>317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AE8B57-71B5-45CD-A1A4-E14435908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289832</xdr:colOff>
      <xdr:row>73</xdr:row>
      <xdr:rowOff>4082</xdr:rowOff>
    </xdr:from>
    <xdr:to>
      <xdr:col>6</xdr:col>
      <xdr:colOff>566923</xdr:colOff>
      <xdr:row>87</xdr:row>
      <xdr:rowOff>80282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4BB8945-2EF6-4C3B-B2ED-0438956A1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253813</xdr:colOff>
      <xdr:row>164</xdr:row>
      <xdr:rowOff>190498</xdr:rowOff>
    </xdr:from>
    <xdr:to>
      <xdr:col>6</xdr:col>
      <xdr:colOff>522754</xdr:colOff>
      <xdr:row>179</xdr:row>
      <xdr:rowOff>76198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6D54A61-8163-4CB2-89B2-E7CF02F28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246289</xdr:colOff>
      <xdr:row>257</xdr:row>
      <xdr:rowOff>10885</xdr:rowOff>
    </xdr:from>
    <xdr:to>
      <xdr:col>6</xdr:col>
      <xdr:colOff>545646</xdr:colOff>
      <xdr:row>271</xdr:row>
      <xdr:rowOff>87085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4C25735-0ECF-4A86-9E1E-F8E7FDA56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257735</xdr:colOff>
      <xdr:row>211</xdr:row>
      <xdr:rowOff>7283</xdr:rowOff>
    </xdr:from>
    <xdr:to>
      <xdr:col>6</xdr:col>
      <xdr:colOff>526676</xdr:colOff>
      <xdr:row>225</xdr:row>
      <xdr:rowOff>83483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98DFF75-C7BF-4797-806F-B7211E144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280988</xdr:colOff>
      <xdr:row>27</xdr:row>
      <xdr:rowOff>9525</xdr:rowOff>
    </xdr:from>
    <xdr:to>
      <xdr:col>13</xdr:col>
      <xdr:colOff>280988</xdr:colOff>
      <xdr:row>41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C2B3103-93F7-46A1-8B6F-5758DAAD7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290512</xdr:colOff>
      <xdr:row>164</xdr:row>
      <xdr:rowOff>171450</xdr:rowOff>
    </xdr:from>
    <xdr:to>
      <xdr:col>13</xdr:col>
      <xdr:colOff>589869</xdr:colOff>
      <xdr:row>179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2203F69-7DC2-47FE-BAEA-3BB01C0D0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277584</xdr:colOff>
      <xdr:row>118</xdr:row>
      <xdr:rowOff>186417</xdr:rowOff>
    </xdr:from>
    <xdr:to>
      <xdr:col>13</xdr:col>
      <xdr:colOff>554675</xdr:colOff>
      <xdr:row>133</xdr:row>
      <xdr:rowOff>72117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1EA0D27-618C-4F67-AC58-F718E4AB5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288447</xdr:colOff>
      <xdr:row>73</xdr:row>
      <xdr:rowOff>1681</xdr:rowOff>
    </xdr:from>
    <xdr:to>
      <xdr:col>13</xdr:col>
      <xdr:colOff>565538</xdr:colOff>
      <xdr:row>87</xdr:row>
      <xdr:rowOff>77881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AAD314BE-40DD-4213-9C3C-3E7DD0EB5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267381</xdr:colOff>
      <xdr:row>27</xdr:row>
      <xdr:rowOff>9525</xdr:rowOff>
    </xdr:from>
    <xdr:to>
      <xdr:col>20</xdr:col>
      <xdr:colOff>566738</xdr:colOff>
      <xdr:row>41</xdr:row>
      <xdr:rowOff>85725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41253984-478D-4772-9FA8-D81A0C22B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263298</xdr:colOff>
      <xdr:row>119</xdr:row>
      <xdr:rowOff>21771</xdr:rowOff>
    </xdr:from>
    <xdr:to>
      <xdr:col>20</xdr:col>
      <xdr:colOff>562655</xdr:colOff>
      <xdr:row>133</xdr:row>
      <xdr:rowOff>97971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B9483439-41A0-4A6C-807D-51B7EB452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304798</xdr:colOff>
      <xdr:row>164</xdr:row>
      <xdr:rowOff>186418</xdr:rowOff>
    </xdr:from>
    <xdr:to>
      <xdr:col>20</xdr:col>
      <xdr:colOff>604155</xdr:colOff>
      <xdr:row>179</xdr:row>
      <xdr:rowOff>72118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16237C9-BD43-49EC-B2E0-1D75D76E0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303439</xdr:colOff>
      <xdr:row>73</xdr:row>
      <xdr:rowOff>17690</xdr:rowOff>
    </xdr:from>
    <xdr:to>
      <xdr:col>20</xdr:col>
      <xdr:colOff>580530</xdr:colOff>
      <xdr:row>87</xdr:row>
      <xdr:rowOff>93890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BA60D47-EC8C-4DCC-9C3C-10454752B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277585</xdr:colOff>
      <xdr:row>211</xdr:row>
      <xdr:rowOff>9525</xdr:rowOff>
    </xdr:from>
    <xdr:to>
      <xdr:col>20</xdr:col>
      <xdr:colOff>576942</xdr:colOff>
      <xdr:row>225</xdr:row>
      <xdr:rowOff>85725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868E67DC-F58E-462A-B0E3-0E8D605CD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236764</xdr:colOff>
      <xdr:row>349</xdr:row>
      <xdr:rowOff>9525</xdr:rowOff>
    </xdr:from>
    <xdr:to>
      <xdr:col>6</xdr:col>
      <xdr:colOff>536121</xdr:colOff>
      <xdr:row>363</xdr:row>
      <xdr:rowOff>85725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5A76E44E-912B-4615-BD49-CE72A816A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290512</xdr:colOff>
      <xdr:row>210</xdr:row>
      <xdr:rowOff>171450</xdr:rowOff>
    </xdr:from>
    <xdr:to>
      <xdr:col>13</xdr:col>
      <xdr:colOff>589869</xdr:colOff>
      <xdr:row>225</xdr:row>
      <xdr:rowOff>57150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E35BD2AC-AB06-4EE7-A613-1CFCA1065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DAAC/Dropbox/TESIS/ENSAYOS%20SUELO%201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DAAC/Dropbox/TESIS/ENSAYOS%20SUELO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DAAC/Dropbox/TESIS/ENSAYOS%20SUEL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O "/>
      <sheetName val="CLASIFICACION"/>
      <sheetName val="CUCHARA"/>
      <sheetName val="MUESTRA DESVIASION"/>
    </sheetNames>
    <sheetDataSet>
      <sheetData sheetId="0"/>
      <sheetData sheetId="1"/>
      <sheetData sheetId="2">
        <row r="4">
          <cell r="D4">
            <v>34</v>
          </cell>
        </row>
        <row r="5">
          <cell r="D5">
            <v>28</v>
          </cell>
        </row>
        <row r="6">
          <cell r="D6">
            <v>16</v>
          </cell>
        </row>
        <row r="11">
          <cell r="D11">
            <v>30</v>
          </cell>
          <cell r="P11">
            <v>30</v>
          </cell>
        </row>
        <row r="12">
          <cell r="D12">
            <v>26</v>
          </cell>
          <cell r="P12">
            <v>27</v>
          </cell>
        </row>
        <row r="13">
          <cell r="D13">
            <v>21</v>
          </cell>
          <cell r="P13">
            <v>23</v>
          </cell>
        </row>
        <row r="18">
          <cell r="P18">
            <v>26</v>
          </cell>
        </row>
        <row r="19">
          <cell r="P19">
            <v>24</v>
          </cell>
        </row>
        <row r="20">
          <cell r="P20">
            <v>20</v>
          </cell>
        </row>
        <row r="25">
          <cell r="D25">
            <v>35</v>
          </cell>
          <cell r="P25">
            <v>33</v>
          </cell>
        </row>
        <row r="26">
          <cell r="D26">
            <v>27</v>
          </cell>
          <cell r="P26">
            <v>24</v>
          </cell>
        </row>
        <row r="27">
          <cell r="D27">
            <v>23</v>
          </cell>
          <cell r="P27">
            <v>22</v>
          </cell>
        </row>
        <row r="33">
          <cell r="D33">
            <v>35</v>
          </cell>
        </row>
        <row r="34">
          <cell r="D34">
            <v>22</v>
          </cell>
        </row>
        <row r="35">
          <cell r="D35">
            <v>20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O "/>
      <sheetName val="CUCHARA"/>
      <sheetName val="CLASIFICACION"/>
      <sheetName val="MUESTRA DESVIASION"/>
    </sheetNames>
    <sheetDataSet>
      <sheetData sheetId="0"/>
      <sheetData sheetId="1">
        <row r="4">
          <cell r="D4">
            <v>35</v>
          </cell>
          <cell r="P4">
            <v>26</v>
          </cell>
        </row>
        <row r="7">
          <cell r="D7">
            <v>25</v>
          </cell>
          <cell r="P7">
            <v>23</v>
          </cell>
        </row>
        <row r="10">
          <cell r="D10">
            <v>23</v>
          </cell>
          <cell r="P10">
            <v>17</v>
          </cell>
        </row>
        <row r="17">
          <cell r="D17">
            <v>32</v>
          </cell>
        </row>
        <row r="20">
          <cell r="D20">
            <v>24</v>
          </cell>
        </row>
        <row r="23">
          <cell r="D23">
            <v>21</v>
          </cell>
        </row>
        <row r="30">
          <cell r="D30">
            <v>32</v>
          </cell>
        </row>
        <row r="33">
          <cell r="D33">
            <v>25</v>
          </cell>
        </row>
        <row r="36">
          <cell r="D36">
            <v>20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O "/>
      <sheetName val="CUCHARA"/>
      <sheetName val="CLASIFICACION"/>
      <sheetName val="MUESTRA DESVIASION"/>
    </sheetNames>
    <sheetDataSet>
      <sheetData sheetId="0"/>
      <sheetData sheetId="1">
        <row r="4">
          <cell r="D4">
            <v>25</v>
          </cell>
          <cell r="O4">
            <v>32</v>
          </cell>
        </row>
        <row r="5">
          <cell r="D5">
            <v>22</v>
          </cell>
          <cell r="O5">
            <v>27</v>
          </cell>
        </row>
        <row r="6">
          <cell r="D6">
            <v>16</v>
          </cell>
          <cell r="O6">
            <v>21</v>
          </cell>
        </row>
        <row r="11">
          <cell r="D11">
            <v>30</v>
          </cell>
          <cell r="O11">
            <v>35</v>
          </cell>
        </row>
        <row r="12">
          <cell r="D12">
            <v>26</v>
          </cell>
          <cell r="O12">
            <v>27</v>
          </cell>
        </row>
        <row r="13">
          <cell r="D13">
            <v>15</v>
          </cell>
          <cell r="O13">
            <v>19</v>
          </cell>
        </row>
        <row r="18">
          <cell r="D18">
            <v>35</v>
          </cell>
        </row>
        <row r="19">
          <cell r="D19">
            <v>27</v>
          </cell>
        </row>
        <row r="20">
          <cell r="D20">
            <v>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BF4D-E5F5-49CC-876D-FC4956C765D5}">
  <dimension ref="A1:R94"/>
  <sheetViews>
    <sheetView tabSelected="1" topLeftCell="A64" zoomScale="70" zoomScaleNormal="70" workbookViewId="0">
      <selection activeCell="L91" sqref="L91"/>
    </sheetView>
  </sheetViews>
  <sheetFormatPr baseColWidth="10" defaultRowHeight="15" x14ac:dyDescent="0.25"/>
  <cols>
    <col min="1" max="1" width="13.7109375" style="1" customWidth="1"/>
    <col min="2" max="17" width="13.7109375" style="33" customWidth="1"/>
    <col min="18" max="18" width="13.7109375" style="1" customWidth="1"/>
    <col min="19" max="20" width="12.7109375" customWidth="1"/>
  </cols>
  <sheetData>
    <row r="1" spans="1:18" x14ac:dyDescent="0.25">
      <c r="A1" s="66" t="s">
        <v>26</v>
      </c>
      <c r="B1" s="66"/>
      <c r="C1" s="66"/>
      <c r="D1" s="66"/>
      <c r="E1" s="66"/>
      <c r="F1" s="66"/>
      <c r="G1" s="68" t="s">
        <v>51</v>
      </c>
      <c r="H1" s="68"/>
      <c r="I1" s="68"/>
      <c r="J1" s="68"/>
      <c r="K1" s="68"/>
      <c r="L1" s="68"/>
      <c r="M1" s="66" t="s">
        <v>57</v>
      </c>
      <c r="N1" s="66"/>
      <c r="O1" s="66"/>
      <c r="P1" s="66"/>
      <c r="Q1" s="66"/>
      <c r="R1" s="66"/>
    </row>
    <row r="2" spans="1:18" x14ac:dyDescent="0.25">
      <c r="A2" s="66"/>
      <c r="B2" s="66"/>
      <c r="C2" s="66"/>
      <c r="D2" s="66"/>
      <c r="E2" s="66"/>
      <c r="F2" s="66"/>
      <c r="G2" s="68"/>
      <c r="H2" s="68"/>
      <c r="I2" s="68"/>
      <c r="J2" s="68"/>
      <c r="K2" s="68"/>
      <c r="L2" s="68"/>
      <c r="M2" s="66"/>
      <c r="N2" s="66"/>
      <c r="O2" s="66"/>
      <c r="P2" s="66"/>
      <c r="Q2" s="66"/>
      <c r="R2" s="66"/>
    </row>
    <row r="3" spans="1:18" ht="15" customHeight="1" x14ac:dyDescent="0.25">
      <c r="A3" s="66" t="s">
        <v>0</v>
      </c>
      <c r="B3" s="66"/>
      <c r="C3" s="66"/>
      <c r="D3" s="66"/>
      <c r="E3" s="66"/>
      <c r="F3" s="66"/>
      <c r="G3" s="68" t="s">
        <v>0</v>
      </c>
      <c r="H3" s="68"/>
      <c r="I3" s="68"/>
      <c r="J3" s="68"/>
      <c r="K3" s="68"/>
      <c r="L3" s="68"/>
      <c r="M3" s="66" t="s">
        <v>0</v>
      </c>
      <c r="N3" s="66"/>
      <c r="O3" s="66"/>
      <c r="P3" s="66"/>
      <c r="Q3" s="66"/>
      <c r="R3" s="66"/>
    </row>
    <row r="4" spans="1:18" ht="15" customHeight="1" x14ac:dyDescent="0.25">
      <c r="A4" s="66"/>
      <c r="B4" s="66"/>
      <c r="C4" s="66"/>
      <c r="D4" s="66"/>
      <c r="E4" s="66"/>
      <c r="F4" s="66"/>
      <c r="G4" s="68"/>
      <c r="H4" s="68"/>
      <c r="I4" s="68"/>
      <c r="J4" s="68"/>
      <c r="K4" s="68"/>
      <c r="L4" s="68"/>
      <c r="M4" s="66"/>
      <c r="N4" s="66"/>
      <c r="O4" s="66"/>
      <c r="P4" s="66"/>
      <c r="Q4" s="66"/>
      <c r="R4" s="66"/>
    </row>
    <row r="6" spans="1:18" x14ac:dyDescent="0.25">
      <c r="A6" s="61" t="s">
        <v>148</v>
      </c>
      <c r="B6" s="61"/>
      <c r="C6" s="61"/>
      <c r="D6" s="61"/>
      <c r="E6" s="61"/>
      <c r="F6" s="61"/>
      <c r="G6" s="61" t="s">
        <v>148</v>
      </c>
      <c r="H6" s="61"/>
      <c r="I6" s="61"/>
      <c r="J6" s="61"/>
      <c r="K6" s="61"/>
      <c r="L6" s="61"/>
      <c r="M6" s="61" t="s">
        <v>148</v>
      </c>
      <c r="N6" s="61"/>
      <c r="O6" s="61"/>
      <c r="P6" s="61"/>
      <c r="Q6" s="61"/>
      <c r="R6" s="61"/>
    </row>
    <row r="8" spans="1:18" x14ac:dyDescent="0.25">
      <c r="C8" s="33" t="s">
        <v>1</v>
      </c>
      <c r="E8" s="33" t="s">
        <v>2</v>
      </c>
      <c r="I8" s="33" t="s">
        <v>1</v>
      </c>
      <c r="K8" s="33" t="s">
        <v>2</v>
      </c>
      <c r="O8" s="33" t="s">
        <v>1</v>
      </c>
      <c r="Q8" s="33" t="s">
        <v>2</v>
      </c>
    </row>
    <row r="9" spans="1:18" x14ac:dyDescent="0.25">
      <c r="A9" s="61" t="s">
        <v>25</v>
      </c>
      <c r="B9" s="61"/>
      <c r="C9" s="65" t="s">
        <v>52</v>
      </c>
      <c r="D9" s="65"/>
      <c r="E9" s="65"/>
      <c r="F9" s="65"/>
      <c r="G9" s="65" t="s">
        <v>25</v>
      </c>
      <c r="H9" s="65"/>
      <c r="I9" s="65" t="s">
        <v>54</v>
      </c>
      <c r="J9" s="65"/>
      <c r="K9" s="65"/>
      <c r="L9" s="65"/>
      <c r="M9" s="65" t="s">
        <v>25</v>
      </c>
      <c r="N9" s="65"/>
      <c r="O9" s="61" t="s">
        <v>56</v>
      </c>
      <c r="P9" s="61"/>
      <c r="Q9" s="61"/>
      <c r="R9" s="61"/>
    </row>
    <row r="10" spans="1:18" x14ac:dyDescent="0.25">
      <c r="A10" s="61" t="s">
        <v>44</v>
      </c>
      <c r="B10" s="61"/>
      <c r="C10" s="65" t="s">
        <v>53</v>
      </c>
      <c r="D10" s="65"/>
      <c r="E10" s="65"/>
      <c r="F10" s="65"/>
      <c r="G10" s="65" t="s">
        <v>44</v>
      </c>
      <c r="H10" s="65"/>
      <c r="I10" s="65" t="s">
        <v>36</v>
      </c>
      <c r="J10" s="65"/>
      <c r="K10" s="65"/>
      <c r="L10" s="65"/>
      <c r="M10" s="65" t="s">
        <v>44</v>
      </c>
      <c r="N10" s="65"/>
      <c r="O10" s="61" t="s">
        <v>55</v>
      </c>
      <c r="P10" s="61"/>
      <c r="Q10" s="61"/>
      <c r="R10" s="61"/>
    </row>
    <row r="11" spans="1:18" x14ac:dyDescent="0.25">
      <c r="A11" s="61" t="s">
        <v>42</v>
      </c>
      <c r="B11" s="61"/>
      <c r="C11" s="65">
        <v>200</v>
      </c>
      <c r="D11" s="65"/>
      <c r="E11" s="65"/>
      <c r="F11" s="65"/>
      <c r="G11" s="65" t="s">
        <v>42</v>
      </c>
      <c r="H11" s="65"/>
      <c r="I11" s="65">
        <v>201.1</v>
      </c>
      <c r="J11" s="65"/>
      <c r="K11" s="65"/>
      <c r="L11" s="65"/>
      <c r="M11" s="65" t="s">
        <v>42</v>
      </c>
      <c r="N11" s="65"/>
      <c r="O11" s="61">
        <v>200.4</v>
      </c>
      <c r="P11" s="61"/>
      <c r="Q11" s="61"/>
      <c r="R11" s="61"/>
    </row>
    <row r="12" spans="1:18" x14ac:dyDescent="0.25">
      <c r="A12" s="61" t="s">
        <v>43</v>
      </c>
      <c r="B12" s="61"/>
      <c r="C12" s="65">
        <v>56.7</v>
      </c>
      <c r="D12" s="65"/>
      <c r="E12" s="65"/>
      <c r="F12" s="65"/>
      <c r="G12" s="65" t="s">
        <v>43</v>
      </c>
      <c r="H12" s="65"/>
      <c r="I12" s="65">
        <v>50.8</v>
      </c>
      <c r="J12" s="65"/>
      <c r="K12" s="65"/>
      <c r="L12" s="65"/>
      <c r="M12" s="65" t="s">
        <v>43</v>
      </c>
      <c r="N12" s="65"/>
      <c r="O12" s="61">
        <v>24.8</v>
      </c>
      <c r="P12" s="61"/>
      <c r="Q12" s="61"/>
      <c r="R12" s="61"/>
    </row>
    <row r="13" spans="1:18" ht="30" customHeight="1" x14ac:dyDescent="0.25">
      <c r="A13" s="70" t="s">
        <v>3</v>
      </c>
      <c r="B13" s="70"/>
      <c r="C13" s="60" t="s">
        <v>21</v>
      </c>
      <c r="D13" s="60" t="s">
        <v>22</v>
      </c>
      <c r="E13" s="60" t="s">
        <v>23</v>
      </c>
      <c r="F13" s="60" t="s">
        <v>24</v>
      </c>
      <c r="G13" s="58" t="s">
        <v>3</v>
      </c>
      <c r="H13" s="58"/>
      <c r="I13" s="60" t="s">
        <v>21</v>
      </c>
      <c r="J13" s="60" t="s">
        <v>22</v>
      </c>
      <c r="K13" s="60" t="s">
        <v>23</v>
      </c>
      <c r="L13" s="60" t="s">
        <v>24</v>
      </c>
      <c r="M13" s="58" t="s">
        <v>3</v>
      </c>
      <c r="N13" s="58"/>
      <c r="O13" s="60" t="s">
        <v>21</v>
      </c>
      <c r="P13" s="60" t="s">
        <v>22</v>
      </c>
      <c r="Q13" s="60" t="s">
        <v>23</v>
      </c>
      <c r="R13" s="64" t="s">
        <v>24</v>
      </c>
    </row>
    <row r="14" spans="1:18" ht="30" customHeight="1" x14ac:dyDescent="0.25">
      <c r="A14" s="2" t="s">
        <v>4</v>
      </c>
      <c r="B14" s="26" t="s">
        <v>5</v>
      </c>
      <c r="C14" s="60"/>
      <c r="D14" s="60"/>
      <c r="E14" s="60"/>
      <c r="F14" s="60"/>
      <c r="G14" s="26" t="s">
        <v>4</v>
      </c>
      <c r="H14" s="26" t="s">
        <v>5</v>
      </c>
      <c r="I14" s="60"/>
      <c r="J14" s="60"/>
      <c r="K14" s="60"/>
      <c r="L14" s="60"/>
      <c r="M14" s="26" t="s">
        <v>4</v>
      </c>
      <c r="N14" s="26" t="s">
        <v>5</v>
      </c>
      <c r="O14" s="60"/>
      <c r="P14" s="60"/>
      <c r="Q14" s="60"/>
      <c r="R14" s="64"/>
    </row>
    <row r="15" spans="1:18" x14ac:dyDescent="0.25">
      <c r="A15" s="2" t="s">
        <v>6</v>
      </c>
      <c r="B15" s="26">
        <v>76.2</v>
      </c>
      <c r="C15" s="26">
        <v>0</v>
      </c>
      <c r="D15" s="26">
        <f>IF(C15="-",0,C15)</f>
        <v>0</v>
      </c>
      <c r="E15" s="28">
        <v>0</v>
      </c>
      <c r="F15" s="49">
        <v>1</v>
      </c>
      <c r="G15" s="26" t="s">
        <v>6</v>
      </c>
      <c r="H15" s="26">
        <v>76.2</v>
      </c>
      <c r="I15" s="26">
        <v>0</v>
      </c>
      <c r="J15" s="26">
        <f>IF(I15="-",0,I15)</f>
        <v>0</v>
      </c>
      <c r="K15" s="28">
        <v>0</v>
      </c>
      <c r="L15" s="49">
        <v>1</v>
      </c>
      <c r="M15" s="26" t="s">
        <v>6</v>
      </c>
      <c r="N15" s="26">
        <v>76.2</v>
      </c>
      <c r="O15" s="26">
        <v>0</v>
      </c>
      <c r="P15" s="26">
        <f>IF(O15="-",0,O15)</f>
        <v>0</v>
      </c>
      <c r="Q15" s="28">
        <v>0</v>
      </c>
      <c r="R15" s="3">
        <v>1</v>
      </c>
    </row>
    <row r="16" spans="1:18" x14ac:dyDescent="0.25">
      <c r="A16" s="2" t="s">
        <v>10</v>
      </c>
      <c r="B16" s="26">
        <v>63.5</v>
      </c>
      <c r="C16" s="26">
        <v>0</v>
      </c>
      <c r="D16" s="26">
        <f>IF(C16="-",0,C16)+D15</f>
        <v>0</v>
      </c>
      <c r="E16" s="28">
        <v>0</v>
      </c>
      <c r="F16" s="49">
        <v>1</v>
      </c>
      <c r="G16" s="26" t="s">
        <v>10</v>
      </c>
      <c r="H16" s="26">
        <v>63.5</v>
      </c>
      <c r="I16" s="26">
        <v>0</v>
      </c>
      <c r="J16" s="26">
        <f>IF(I16="-",0,I16)+J15</f>
        <v>0</v>
      </c>
      <c r="K16" s="28">
        <v>0</v>
      </c>
      <c r="L16" s="49">
        <v>1</v>
      </c>
      <c r="M16" s="26" t="s">
        <v>10</v>
      </c>
      <c r="N16" s="26">
        <v>63.5</v>
      </c>
      <c r="O16" s="26">
        <v>0</v>
      </c>
      <c r="P16" s="26">
        <f>IF(O16="-",0,O16)+P15</f>
        <v>0</v>
      </c>
      <c r="Q16" s="28">
        <v>0</v>
      </c>
      <c r="R16" s="3">
        <v>1</v>
      </c>
    </row>
    <row r="17" spans="1:18" x14ac:dyDescent="0.25">
      <c r="A17" s="2" t="s">
        <v>7</v>
      </c>
      <c r="B17" s="26">
        <v>50.8</v>
      </c>
      <c r="C17" s="26">
        <v>0</v>
      </c>
      <c r="D17" s="26">
        <f t="shared" ref="D17:D28" si="0">IF(C17="-",0,C17)+D16</f>
        <v>0</v>
      </c>
      <c r="E17" s="28">
        <v>0</v>
      </c>
      <c r="F17" s="49">
        <v>1</v>
      </c>
      <c r="G17" s="26" t="s">
        <v>7</v>
      </c>
      <c r="H17" s="26">
        <v>50.8</v>
      </c>
      <c r="I17" s="26">
        <v>0</v>
      </c>
      <c r="J17" s="26">
        <f t="shared" ref="J17:J28" si="1">IF(I17="-",0,I17)+J16</f>
        <v>0</v>
      </c>
      <c r="K17" s="28">
        <v>0</v>
      </c>
      <c r="L17" s="49">
        <v>1</v>
      </c>
      <c r="M17" s="26" t="s">
        <v>7</v>
      </c>
      <c r="N17" s="26">
        <v>50.8</v>
      </c>
      <c r="O17" s="26">
        <v>0</v>
      </c>
      <c r="P17" s="26">
        <f t="shared" ref="P17:P28" si="2">IF(O17="-",0,O17)+P16</f>
        <v>0</v>
      </c>
      <c r="Q17" s="28">
        <v>0</v>
      </c>
      <c r="R17" s="3">
        <v>1</v>
      </c>
    </row>
    <row r="18" spans="1:18" x14ac:dyDescent="0.25">
      <c r="A18" s="2" t="s">
        <v>9</v>
      </c>
      <c r="B18" s="26">
        <v>38.1</v>
      </c>
      <c r="C18" s="26">
        <v>0</v>
      </c>
      <c r="D18" s="26">
        <f t="shared" si="0"/>
        <v>0</v>
      </c>
      <c r="E18" s="28">
        <v>0</v>
      </c>
      <c r="F18" s="49">
        <v>1</v>
      </c>
      <c r="G18" s="26" t="s">
        <v>9</v>
      </c>
      <c r="H18" s="26">
        <v>38.1</v>
      </c>
      <c r="I18" s="26">
        <v>0</v>
      </c>
      <c r="J18" s="26">
        <f t="shared" si="1"/>
        <v>0</v>
      </c>
      <c r="K18" s="28">
        <v>0</v>
      </c>
      <c r="L18" s="49">
        <v>1</v>
      </c>
      <c r="M18" s="26" t="s">
        <v>9</v>
      </c>
      <c r="N18" s="26">
        <v>38.1</v>
      </c>
      <c r="O18" s="26">
        <v>0</v>
      </c>
      <c r="P18" s="26">
        <f t="shared" si="2"/>
        <v>0</v>
      </c>
      <c r="Q18" s="28">
        <v>0</v>
      </c>
      <c r="R18" s="3">
        <v>1</v>
      </c>
    </row>
    <row r="19" spans="1:18" x14ac:dyDescent="0.25">
      <c r="A19" s="2" t="s">
        <v>8</v>
      </c>
      <c r="B19" s="26">
        <v>25.4</v>
      </c>
      <c r="C19" s="26">
        <v>0</v>
      </c>
      <c r="D19" s="26">
        <f t="shared" si="0"/>
        <v>0</v>
      </c>
      <c r="E19" s="28">
        <v>0</v>
      </c>
      <c r="F19" s="49">
        <v>1</v>
      </c>
      <c r="G19" s="26" t="s">
        <v>8</v>
      </c>
      <c r="H19" s="26">
        <v>25.4</v>
      </c>
      <c r="I19" s="26">
        <v>0</v>
      </c>
      <c r="J19" s="26">
        <f t="shared" si="1"/>
        <v>0</v>
      </c>
      <c r="K19" s="28">
        <v>0</v>
      </c>
      <c r="L19" s="49">
        <v>1</v>
      </c>
      <c r="M19" s="26" t="s">
        <v>8</v>
      </c>
      <c r="N19" s="26">
        <v>25.4</v>
      </c>
      <c r="O19" s="26">
        <v>0</v>
      </c>
      <c r="P19" s="26">
        <f t="shared" si="2"/>
        <v>0</v>
      </c>
      <c r="Q19" s="28">
        <v>0</v>
      </c>
      <c r="R19" s="3">
        <v>1</v>
      </c>
    </row>
    <row r="20" spans="1:18" x14ac:dyDescent="0.25">
      <c r="A20" s="2" t="s">
        <v>11</v>
      </c>
      <c r="B20" s="26">
        <v>19.05</v>
      </c>
      <c r="C20" s="26">
        <v>0</v>
      </c>
      <c r="D20" s="26">
        <f t="shared" si="0"/>
        <v>0</v>
      </c>
      <c r="E20" s="28">
        <v>0</v>
      </c>
      <c r="F20" s="49">
        <v>1</v>
      </c>
      <c r="G20" s="26" t="s">
        <v>11</v>
      </c>
      <c r="H20" s="26">
        <v>19.05</v>
      </c>
      <c r="I20" s="26">
        <v>0</v>
      </c>
      <c r="J20" s="26">
        <f t="shared" si="1"/>
        <v>0</v>
      </c>
      <c r="K20" s="28">
        <v>0</v>
      </c>
      <c r="L20" s="49">
        <v>1</v>
      </c>
      <c r="M20" s="26" t="s">
        <v>11</v>
      </c>
      <c r="N20" s="26">
        <v>19.05</v>
      </c>
      <c r="O20" s="26">
        <v>0</v>
      </c>
      <c r="P20" s="26">
        <f t="shared" si="2"/>
        <v>0</v>
      </c>
      <c r="Q20" s="28">
        <v>0</v>
      </c>
      <c r="R20" s="3">
        <v>1</v>
      </c>
    </row>
    <row r="21" spans="1:18" x14ac:dyDescent="0.25">
      <c r="A21" s="2" t="s">
        <v>12</v>
      </c>
      <c r="B21" s="26">
        <v>12.7</v>
      </c>
      <c r="C21" s="26">
        <v>0</v>
      </c>
      <c r="D21" s="26">
        <f t="shared" si="0"/>
        <v>0</v>
      </c>
      <c r="E21" s="28">
        <v>0</v>
      </c>
      <c r="F21" s="49">
        <v>1</v>
      </c>
      <c r="G21" s="26" t="s">
        <v>12</v>
      </c>
      <c r="H21" s="26">
        <v>12.7</v>
      </c>
      <c r="I21" s="26">
        <v>0</v>
      </c>
      <c r="J21" s="26">
        <f t="shared" si="1"/>
        <v>0</v>
      </c>
      <c r="K21" s="28">
        <v>0</v>
      </c>
      <c r="L21" s="49">
        <v>1</v>
      </c>
      <c r="M21" s="26" t="s">
        <v>12</v>
      </c>
      <c r="N21" s="26">
        <v>12.7</v>
      </c>
      <c r="O21" s="26">
        <v>0</v>
      </c>
      <c r="P21" s="26">
        <f t="shared" si="2"/>
        <v>0</v>
      </c>
      <c r="Q21" s="28">
        <v>0</v>
      </c>
      <c r="R21" s="3">
        <v>1</v>
      </c>
    </row>
    <row r="22" spans="1:18" x14ac:dyDescent="0.25">
      <c r="A22" s="2" t="s">
        <v>13</v>
      </c>
      <c r="B22" s="26">
        <v>9.5250000000000004</v>
      </c>
      <c r="C22" s="26">
        <v>0</v>
      </c>
      <c r="D22" s="26">
        <f t="shared" si="0"/>
        <v>0</v>
      </c>
      <c r="E22" s="28">
        <v>0</v>
      </c>
      <c r="F22" s="49">
        <v>1</v>
      </c>
      <c r="G22" s="26" t="s">
        <v>13</v>
      </c>
      <c r="H22" s="26">
        <v>9.5250000000000004</v>
      </c>
      <c r="I22" s="26">
        <v>0</v>
      </c>
      <c r="J22" s="26">
        <f t="shared" si="1"/>
        <v>0</v>
      </c>
      <c r="K22" s="28">
        <v>0</v>
      </c>
      <c r="L22" s="49">
        <v>1</v>
      </c>
      <c r="M22" s="26" t="s">
        <v>13</v>
      </c>
      <c r="N22" s="26">
        <v>9.5250000000000004</v>
      </c>
      <c r="O22" s="26">
        <v>0</v>
      </c>
      <c r="P22" s="26">
        <f t="shared" si="2"/>
        <v>0</v>
      </c>
      <c r="Q22" s="28">
        <v>0</v>
      </c>
      <c r="R22" s="3">
        <v>1</v>
      </c>
    </row>
    <row r="23" spans="1:18" x14ac:dyDescent="0.25">
      <c r="A23" s="2" t="s">
        <v>14</v>
      </c>
      <c r="B23" s="26">
        <v>4.75</v>
      </c>
      <c r="C23" s="26">
        <v>0</v>
      </c>
      <c r="D23" s="26">
        <f t="shared" si="0"/>
        <v>0</v>
      </c>
      <c r="E23" s="28">
        <v>0</v>
      </c>
      <c r="F23" s="49">
        <v>1</v>
      </c>
      <c r="G23" s="26" t="s">
        <v>142</v>
      </c>
      <c r="H23" s="26">
        <v>4.75</v>
      </c>
      <c r="I23" s="26">
        <v>0</v>
      </c>
      <c r="J23" s="26">
        <f t="shared" si="1"/>
        <v>0</v>
      </c>
      <c r="K23" s="28">
        <v>0</v>
      </c>
      <c r="L23" s="49">
        <v>0.99299999999999999</v>
      </c>
      <c r="M23" s="26" t="s">
        <v>142</v>
      </c>
      <c r="N23" s="26">
        <v>4.75</v>
      </c>
      <c r="O23" s="26">
        <v>2.1</v>
      </c>
      <c r="P23" s="26">
        <v>0</v>
      </c>
      <c r="Q23" s="28">
        <v>0</v>
      </c>
      <c r="R23" s="3">
        <v>0.98950000000000005</v>
      </c>
    </row>
    <row r="24" spans="1:18" x14ac:dyDescent="0.25">
      <c r="A24" s="2" t="s">
        <v>15</v>
      </c>
      <c r="B24" s="26">
        <v>4.75</v>
      </c>
      <c r="C24" s="26" t="s">
        <v>36</v>
      </c>
      <c r="D24" s="26">
        <f t="shared" si="0"/>
        <v>0</v>
      </c>
      <c r="E24" s="28">
        <v>0</v>
      </c>
      <c r="F24" s="49">
        <v>1</v>
      </c>
      <c r="G24" s="26" t="s">
        <v>143</v>
      </c>
      <c r="H24" s="26">
        <v>4.75</v>
      </c>
      <c r="I24" s="26">
        <v>1.4</v>
      </c>
      <c r="J24" s="26">
        <f t="shared" si="1"/>
        <v>1.4</v>
      </c>
      <c r="K24" s="49">
        <f>J24/$I$11</f>
        <v>6.9617105917454004E-3</v>
      </c>
      <c r="L24" s="49">
        <f>1-K24</f>
        <v>0.99303828940825456</v>
      </c>
      <c r="M24" s="26" t="s">
        <v>143</v>
      </c>
      <c r="N24" s="26">
        <v>4.75</v>
      </c>
      <c r="O24" s="26">
        <v>2.1</v>
      </c>
      <c r="P24" s="26">
        <f t="shared" si="2"/>
        <v>2.1</v>
      </c>
      <c r="Q24" s="49">
        <f>P24/$O$11</f>
        <v>1.0479041916167664E-2</v>
      </c>
      <c r="R24" s="3">
        <f>1-Q24</f>
        <v>0.98952095808383234</v>
      </c>
    </row>
    <row r="25" spans="1:18" x14ac:dyDescent="0.25">
      <c r="A25" s="2" t="s">
        <v>16</v>
      </c>
      <c r="B25" s="26">
        <v>2</v>
      </c>
      <c r="C25" s="26">
        <v>0.9</v>
      </c>
      <c r="D25" s="26">
        <f t="shared" si="0"/>
        <v>0.9</v>
      </c>
      <c r="E25" s="49">
        <f>D25/$C$11</f>
        <v>4.5000000000000005E-3</v>
      </c>
      <c r="F25" s="49">
        <f>1-E25</f>
        <v>0.99550000000000005</v>
      </c>
      <c r="G25" s="26" t="s">
        <v>144</v>
      </c>
      <c r="H25" s="26">
        <v>2</v>
      </c>
      <c r="I25" s="26">
        <v>4.5</v>
      </c>
      <c r="J25" s="26">
        <f t="shared" si="1"/>
        <v>5.9</v>
      </c>
      <c r="K25" s="49">
        <f t="shared" ref="K25:K28" si="3">J25/$I$11</f>
        <v>2.9338637493784188E-2</v>
      </c>
      <c r="L25" s="49">
        <f>1-K25</f>
        <v>0.97066136250621582</v>
      </c>
      <c r="M25" s="26" t="s">
        <v>144</v>
      </c>
      <c r="N25" s="26">
        <v>2</v>
      </c>
      <c r="O25" s="26">
        <v>2.6</v>
      </c>
      <c r="P25" s="26">
        <f t="shared" si="2"/>
        <v>4.7</v>
      </c>
      <c r="Q25" s="49">
        <f t="shared" ref="Q25:Q28" si="4">P25/$O$11</f>
        <v>2.3453093812375248E-2</v>
      </c>
      <c r="R25" s="3">
        <f t="shared" ref="R25:R27" si="5">1-Q25</f>
        <v>0.97654690618762474</v>
      </c>
    </row>
    <row r="26" spans="1:18" x14ac:dyDescent="0.25">
      <c r="A26" s="2" t="s">
        <v>17</v>
      </c>
      <c r="B26" s="26">
        <v>0.42499999999999999</v>
      </c>
      <c r="C26" s="26">
        <v>3</v>
      </c>
      <c r="D26" s="26">
        <f t="shared" si="0"/>
        <v>3.9</v>
      </c>
      <c r="E26" s="49">
        <f t="shared" ref="E26:E28" si="6">D26/$C$11</f>
        <v>1.95E-2</v>
      </c>
      <c r="F26" s="49">
        <f t="shared" ref="F26:F27" si="7">1-E26</f>
        <v>0.98050000000000004</v>
      </c>
      <c r="G26" s="26" t="s">
        <v>145</v>
      </c>
      <c r="H26" s="26">
        <v>0.42499999999999999</v>
      </c>
      <c r="I26" s="26">
        <v>18.100000000000001</v>
      </c>
      <c r="J26" s="26">
        <f t="shared" si="1"/>
        <v>24</v>
      </c>
      <c r="K26" s="49">
        <f t="shared" si="3"/>
        <v>0.11934361014420687</v>
      </c>
      <c r="L26" s="49">
        <f t="shared" ref="L26:L27" si="8">1-K26</f>
        <v>0.88065638985579309</v>
      </c>
      <c r="M26" s="26" t="s">
        <v>145</v>
      </c>
      <c r="N26" s="26">
        <v>0.42499999999999999</v>
      </c>
      <c r="O26" s="26">
        <v>7.7</v>
      </c>
      <c r="P26" s="26">
        <f t="shared" si="2"/>
        <v>12.4</v>
      </c>
      <c r="Q26" s="49">
        <f t="shared" si="4"/>
        <v>6.1876247504990017E-2</v>
      </c>
      <c r="R26" s="3">
        <f t="shared" si="5"/>
        <v>0.93812375249501001</v>
      </c>
    </row>
    <row r="27" spans="1:18" x14ac:dyDescent="0.25">
      <c r="A27" s="2" t="s">
        <v>18</v>
      </c>
      <c r="B27" s="26">
        <v>7.4999999999999997E-2</v>
      </c>
      <c r="C27" s="26">
        <v>56.7</v>
      </c>
      <c r="D27" s="26">
        <f t="shared" si="0"/>
        <v>60.6</v>
      </c>
      <c r="E27" s="49">
        <f t="shared" si="6"/>
        <v>0.30299999999999999</v>
      </c>
      <c r="F27" s="49">
        <f t="shared" si="7"/>
        <v>0.69700000000000006</v>
      </c>
      <c r="G27" s="26" t="s">
        <v>146</v>
      </c>
      <c r="H27" s="26">
        <v>7.4999999999999997E-2</v>
      </c>
      <c r="I27" s="26">
        <v>26.8</v>
      </c>
      <c r="J27" s="26">
        <f t="shared" si="1"/>
        <v>50.8</v>
      </c>
      <c r="K27" s="49">
        <f t="shared" si="3"/>
        <v>0.25261064147190454</v>
      </c>
      <c r="L27" s="49">
        <f t="shared" si="8"/>
        <v>0.74738935852809552</v>
      </c>
      <c r="M27" s="26" t="s">
        <v>146</v>
      </c>
      <c r="N27" s="26">
        <v>7.4999999999999997E-2</v>
      </c>
      <c r="O27" s="26">
        <v>12.4</v>
      </c>
      <c r="P27" s="26">
        <f t="shared" si="2"/>
        <v>24.8</v>
      </c>
      <c r="Q27" s="49">
        <f t="shared" si="4"/>
        <v>0.12375249500998003</v>
      </c>
      <c r="R27" s="3">
        <f t="shared" si="5"/>
        <v>0.87624750499002002</v>
      </c>
    </row>
    <row r="28" spans="1:18" x14ac:dyDescent="0.25">
      <c r="A28" s="2" t="s">
        <v>19</v>
      </c>
      <c r="B28" s="26" t="s">
        <v>20</v>
      </c>
      <c r="C28" s="26">
        <v>139.4</v>
      </c>
      <c r="D28" s="26">
        <f t="shared" si="0"/>
        <v>200</v>
      </c>
      <c r="E28" s="49">
        <f t="shared" si="6"/>
        <v>1</v>
      </c>
      <c r="F28" s="50"/>
      <c r="G28" s="26" t="s">
        <v>147</v>
      </c>
      <c r="H28" s="26" t="s">
        <v>20</v>
      </c>
      <c r="I28" s="26">
        <v>150.30000000000001</v>
      </c>
      <c r="J28" s="26">
        <f t="shared" si="1"/>
        <v>201.10000000000002</v>
      </c>
      <c r="K28" s="49">
        <f t="shared" si="3"/>
        <v>1.0000000000000002</v>
      </c>
      <c r="L28" s="50"/>
      <c r="M28" s="26" t="s">
        <v>147</v>
      </c>
      <c r="N28" s="26" t="s">
        <v>20</v>
      </c>
      <c r="O28" s="26">
        <v>175.6</v>
      </c>
      <c r="P28" s="26">
        <f t="shared" si="2"/>
        <v>200.4</v>
      </c>
      <c r="Q28" s="49">
        <f t="shared" si="4"/>
        <v>1</v>
      </c>
      <c r="R28" s="4"/>
    </row>
    <row r="30" spans="1:18" x14ac:dyDescent="0.25">
      <c r="A30" s="61"/>
      <c r="B30" s="61"/>
      <c r="C30" s="61"/>
      <c r="D30" s="61"/>
      <c r="E30" s="61"/>
      <c r="F30" s="61"/>
      <c r="G30" s="65"/>
      <c r="H30" s="65"/>
      <c r="I30" s="65"/>
      <c r="J30" s="65"/>
      <c r="K30" s="65"/>
      <c r="L30" s="65"/>
      <c r="M30" s="61"/>
      <c r="N30" s="61"/>
      <c r="O30" s="61"/>
      <c r="P30" s="61"/>
      <c r="Q30" s="61"/>
      <c r="R30" s="61"/>
    </row>
    <row r="48" spans="1:18" x14ac:dyDescent="0.25">
      <c r="A48" s="61" t="s">
        <v>134</v>
      </c>
      <c r="B48" s="61"/>
      <c r="C48" s="61"/>
      <c r="D48" s="61"/>
      <c r="E48" s="61"/>
      <c r="F48" s="61"/>
      <c r="G48" s="65" t="s">
        <v>134</v>
      </c>
      <c r="H48" s="65"/>
      <c r="I48" s="65"/>
      <c r="J48" s="65"/>
      <c r="K48" s="65"/>
      <c r="L48" s="65"/>
      <c r="M48" s="61" t="s">
        <v>134</v>
      </c>
      <c r="N48" s="61"/>
      <c r="O48" s="61"/>
      <c r="P48" s="61"/>
      <c r="Q48" s="61"/>
      <c r="R48" s="61"/>
    </row>
    <row r="50" spans="1:18" s="6" customFormat="1" ht="45" customHeight="1" x14ac:dyDescent="0.25">
      <c r="A50" s="5" t="s">
        <v>27</v>
      </c>
      <c r="B50" s="25" t="s">
        <v>28</v>
      </c>
      <c r="C50" s="25" t="s">
        <v>29</v>
      </c>
      <c r="D50" s="25" t="s">
        <v>30</v>
      </c>
      <c r="E50" s="25" t="s">
        <v>31</v>
      </c>
      <c r="F50" s="25" t="s">
        <v>32</v>
      </c>
      <c r="G50" s="25" t="s">
        <v>27</v>
      </c>
      <c r="H50" s="25" t="s">
        <v>28</v>
      </c>
      <c r="I50" s="25" t="s">
        <v>29</v>
      </c>
      <c r="J50" s="25" t="s">
        <v>30</v>
      </c>
      <c r="K50" s="25" t="s">
        <v>31</v>
      </c>
      <c r="L50" s="25" t="s">
        <v>32</v>
      </c>
      <c r="M50" s="25" t="s">
        <v>27</v>
      </c>
      <c r="N50" s="25" t="s">
        <v>28</v>
      </c>
      <c r="O50" s="25" t="s">
        <v>29</v>
      </c>
      <c r="P50" s="25" t="s">
        <v>30</v>
      </c>
      <c r="Q50" s="25" t="s">
        <v>31</v>
      </c>
      <c r="R50" s="5" t="s">
        <v>32</v>
      </c>
    </row>
    <row r="51" spans="1:18" x14ac:dyDescent="0.25">
      <c r="A51" s="2" t="s">
        <v>33</v>
      </c>
      <c r="B51" s="26">
        <v>35</v>
      </c>
      <c r="C51" s="26">
        <v>72</v>
      </c>
      <c r="D51" s="26">
        <v>61.1</v>
      </c>
      <c r="E51" s="26">
        <v>38.799999999999997</v>
      </c>
      <c r="F51" s="32">
        <v>48.88</v>
      </c>
      <c r="G51" s="26" t="s">
        <v>61</v>
      </c>
      <c r="H51" s="26">
        <v>32</v>
      </c>
      <c r="I51" s="26">
        <v>48</v>
      </c>
      <c r="J51" s="26">
        <v>45.9</v>
      </c>
      <c r="K51" s="26">
        <v>40.700000000000003</v>
      </c>
      <c r="L51" s="32">
        <v>40.380000000000003</v>
      </c>
      <c r="M51" s="26" t="s">
        <v>65</v>
      </c>
      <c r="N51" s="26">
        <v>32</v>
      </c>
      <c r="O51" s="26">
        <v>81.5</v>
      </c>
      <c r="P51" s="26">
        <v>71.900000000000006</v>
      </c>
      <c r="Q51" s="26">
        <v>43.2</v>
      </c>
      <c r="R51" s="21">
        <v>33.450000000000003</v>
      </c>
    </row>
    <row r="52" spans="1:18" x14ac:dyDescent="0.25">
      <c r="A52" s="2" t="s">
        <v>34</v>
      </c>
      <c r="B52" s="26">
        <v>27</v>
      </c>
      <c r="C52" s="26">
        <v>74.900000000000006</v>
      </c>
      <c r="D52" s="26">
        <v>64.7</v>
      </c>
      <c r="E52" s="26">
        <v>44.8</v>
      </c>
      <c r="F52" s="32">
        <v>51.26</v>
      </c>
      <c r="G52" s="26" t="s">
        <v>62</v>
      </c>
      <c r="H52" s="26">
        <v>24</v>
      </c>
      <c r="I52" s="26">
        <v>54</v>
      </c>
      <c r="J52" s="26">
        <v>51.5</v>
      </c>
      <c r="K52" s="26">
        <v>45.4</v>
      </c>
      <c r="L52" s="32">
        <v>41</v>
      </c>
      <c r="M52" s="26" t="s">
        <v>66</v>
      </c>
      <c r="N52" s="26">
        <v>27</v>
      </c>
      <c r="O52" s="26">
        <v>76.5</v>
      </c>
      <c r="P52" s="26">
        <v>67.7</v>
      </c>
      <c r="Q52" s="26">
        <v>42</v>
      </c>
      <c r="R52" s="21">
        <v>34.200000000000003</v>
      </c>
    </row>
    <row r="53" spans="1:18" x14ac:dyDescent="0.25">
      <c r="A53" s="2" t="s">
        <v>35</v>
      </c>
      <c r="B53" s="26">
        <v>23</v>
      </c>
      <c r="C53" s="26">
        <v>77.8</v>
      </c>
      <c r="D53" s="26">
        <v>67.400000000000006</v>
      </c>
      <c r="E53" s="26">
        <v>47.7</v>
      </c>
      <c r="F53" s="32">
        <v>52.79</v>
      </c>
      <c r="G53" s="26" t="s">
        <v>35</v>
      </c>
      <c r="H53" s="26">
        <v>21</v>
      </c>
      <c r="I53" s="26">
        <v>57.3</v>
      </c>
      <c r="J53" s="26">
        <v>54.4</v>
      </c>
      <c r="K53" s="26">
        <v>47.7</v>
      </c>
      <c r="L53" s="32">
        <v>43</v>
      </c>
      <c r="M53" s="26" t="s">
        <v>67</v>
      </c>
      <c r="N53" s="26">
        <v>21</v>
      </c>
      <c r="O53" s="26">
        <v>73</v>
      </c>
      <c r="P53" s="26">
        <v>64.7</v>
      </c>
      <c r="Q53" s="26">
        <v>41.7</v>
      </c>
      <c r="R53" s="21">
        <v>36.090000000000003</v>
      </c>
    </row>
    <row r="55" spans="1:18" x14ac:dyDescent="0.25">
      <c r="A55" s="61" t="s">
        <v>135</v>
      </c>
      <c r="B55" s="61"/>
      <c r="C55" s="61"/>
      <c r="D55" s="61"/>
      <c r="E55" s="61"/>
      <c r="F55" s="61"/>
      <c r="G55" s="65" t="s">
        <v>135</v>
      </c>
      <c r="H55" s="65"/>
      <c r="I55" s="65"/>
      <c r="J55" s="65"/>
      <c r="K55" s="65"/>
      <c r="L55" s="65"/>
      <c r="M55" s="61" t="s">
        <v>135</v>
      </c>
      <c r="N55" s="61"/>
      <c r="O55" s="61"/>
      <c r="P55" s="61"/>
      <c r="Q55" s="61"/>
      <c r="R55" s="61"/>
    </row>
    <row r="57" spans="1:18" ht="30" x14ac:dyDescent="0.25">
      <c r="A57" s="5" t="s">
        <v>27</v>
      </c>
      <c r="B57" s="25" t="s">
        <v>28</v>
      </c>
      <c r="C57" s="25" t="s">
        <v>29</v>
      </c>
      <c r="D57" s="25" t="s">
        <v>30</v>
      </c>
      <c r="E57" s="25" t="s">
        <v>31</v>
      </c>
      <c r="F57" s="25" t="s">
        <v>32</v>
      </c>
      <c r="G57" s="25" t="s">
        <v>27</v>
      </c>
      <c r="H57" s="25" t="s">
        <v>28</v>
      </c>
      <c r="I57" s="25" t="s">
        <v>29</v>
      </c>
      <c r="J57" s="25" t="s">
        <v>30</v>
      </c>
      <c r="K57" s="25" t="s">
        <v>31</v>
      </c>
      <c r="L57" s="25" t="s">
        <v>32</v>
      </c>
      <c r="M57" s="25" t="s">
        <v>27</v>
      </c>
      <c r="N57" s="25" t="s">
        <v>28</v>
      </c>
      <c r="O57" s="25" t="s">
        <v>29</v>
      </c>
      <c r="P57" s="25" t="s">
        <v>30</v>
      </c>
      <c r="Q57" s="25" t="s">
        <v>31</v>
      </c>
      <c r="R57" s="5" t="s">
        <v>32</v>
      </c>
    </row>
    <row r="58" spans="1:18" x14ac:dyDescent="0.25">
      <c r="A58" s="55" t="s">
        <v>37</v>
      </c>
      <c r="B58" s="26"/>
      <c r="C58" s="56">
        <v>46</v>
      </c>
      <c r="D58" s="56">
        <v>49.8</v>
      </c>
      <c r="E58" s="56">
        <v>49.1</v>
      </c>
      <c r="F58" s="28">
        <v>0.2258</v>
      </c>
      <c r="G58" s="56" t="s">
        <v>34</v>
      </c>
      <c r="H58" s="26"/>
      <c r="I58" s="56">
        <v>47.8</v>
      </c>
      <c r="J58" s="56">
        <v>47.2</v>
      </c>
      <c r="K58" s="56">
        <v>44.8</v>
      </c>
      <c r="L58" s="28">
        <v>0.25</v>
      </c>
      <c r="M58" s="26" t="s">
        <v>63</v>
      </c>
      <c r="N58" s="26"/>
      <c r="O58" s="26">
        <v>40.6</v>
      </c>
      <c r="P58" s="26">
        <v>40.299999999999997</v>
      </c>
      <c r="Q58" s="26">
        <v>38.299999999999997</v>
      </c>
      <c r="R58" s="57">
        <v>0.15</v>
      </c>
    </row>
    <row r="59" spans="1:18" x14ac:dyDescent="0.25">
      <c r="A59" s="55" t="s">
        <v>38</v>
      </c>
      <c r="B59" s="26"/>
      <c r="C59" s="56">
        <v>48</v>
      </c>
      <c r="D59" s="56">
        <v>51.4</v>
      </c>
      <c r="E59" s="56">
        <v>50.8</v>
      </c>
      <c r="F59" s="28">
        <v>0.21429999999999999</v>
      </c>
      <c r="G59" s="56" t="s">
        <v>60</v>
      </c>
      <c r="H59" s="26"/>
      <c r="I59" s="56">
        <v>43.3</v>
      </c>
      <c r="J59" s="56">
        <v>42.8</v>
      </c>
      <c r="K59" s="56">
        <v>40.799999999999997</v>
      </c>
      <c r="L59" s="28">
        <v>0.25</v>
      </c>
      <c r="M59" s="26" t="s">
        <v>64</v>
      </c>
      <c r="N59" s="26"/>
      <c r="O59" s="26">
        <v>52.6</v>
      </c>
      <c r="P59" s="26">
        <v>52.3</v>
      </c>
      <c r="Q59" s="26">
        <v>50.3</v>
      </c>
      <c r="R59" s="57">
        <v>0.15</v>
      </c>
    </row>
    <row r="60" spans="1:18" x14ac:dyDescent="0.25">
      <c r="A60" s="69" t="s">
        <v>39</v>
      </c>
      <c r="B60" s="69"/>
      <c r="C60" s="67">
        <f>AVERAGE(F58:F59)</f>
        <v>0.22005</v>
      </c>
      <c r="D60" s="67"/>
      <c r="E60" s="67"/>
      <c r="F60" s="67"/>
      <c r="G60" s="62" t="s">
        <v>39</v>
      </c>
      <c r="H60" s="62"/>
      <c r="I60" s="67">
        <f>AVERAGE(L58:L59)</f>
        <v>0.25</v>
      </c>
      <c r="J60" s="67"/>
      <c r="K60" s="67"/>
      <c r="L60" s="67"/>
      <c r="M60" s="62" t="s">
        <v>39</v>
      </c>
      <c r="N60" s="62"/>
      <c r="O60" s="63">
        <f>AVERAGE(R58:R59)</f>
        <v>0.15</v>
      </c>
      <c r="P60" s="63"/>
      <c r="Q60" s="63"/>
      <c r="R60" s="63"/>
    </row>
    <row r="77" spans="2:17" x14ac:dyDescent="0.25">
      <c r="B77" s="58" t="s">
        <v>136</v>
      </c>
      <c r="C77" s="58"/>
      <c r="D77" s="58">
        <v>52</v>
      </c>
      <c r="E77" s="58"/>
      <c r="H77" s="58" t="s">
        <v>136</v>
      </c>
      <c r="I77" s="58"/>
      <c r="J77" s="58">
        <v>41</v>
      </c>
      <c r="K77" s="58"/>
      <c r="N77" s="58" t="s">
        <v>136</v>
      </c>
      <c r="O77" s="58"/>
      <c r="P77" s="58">
        <v>35</v>
      </c>
      <c r="Q77" s="58"/>
    </row>
    <row r="78" spans="2:17" x14ac:dyDescent="0.25">
      <c r="B78" s="58" t="s">
        <v>149</v>
      </c>
      <c r="C78" s="58"/>
      <c r="D78" s="58">
        <v>22</v>
      </c>
      <c r="E78" s="58"/>
      <c r="H78" s="58" t="s">
        <v>149</v>
      </c>
      <c r="I78" s="58"/>
      <c r="J78" s="58">
        <v>25</v>
      </c>
      <c r="K78" s="58"/>
      <c r="N78" s="58" t="s">
        <v>149</v>
      </c>
      <c r="O78" s="58"/>
      <c r="P78" s="58">
        <v>15</v>
      </c>
      <c r="Q78" s="58"/>
    </row>
    <row r="79" spans="2:17" x14ac:dyDescent="0.25">
      <c r="B79" s="58" t="s">
        <v>150</v>
      </c>
      <c r="C79" s="58"/>
      <c r="D79" s="58">
        <f>D77-D78</f>
        <v>30</v>
      </c>
      <c r="E79" s="58"/>
      <c r="H79" s="58" t="s">
        <v>150</v>
      </c>
      <c r="I79" s="58"/>
      <c r="J79" s="58">
        <f>J77-J78</f>
        <v>16</v>
      </c>
      <c r="K79" s="58"/>
      <c r="N79" s="58" t="s">
        <v>150</v>
      </c>
      <c r="O79" s="58"/>
      <c r="P79" s="58">
        <f>P77-P78</f>
        <v>20</v>
      </c>
      <c r="Q79" s="58"/>
    </row>
    <row r="80" spans="2:17" x14ac:dyDescent="0.25">
      <c r="B80" s="58" t="s">
        <v>40</v>
      </c>
      <c r="C80" s="58"/>
      <c r="D80" s="58">
        <f>0.73*(D77-20)</f>
        <v>23.36</v>
      </c>
      <c r="E80" s="58"/>
      <c r="H80" s="58" t="s">
        <v>40</v>
      </c>
      <c r="I80" s="58"/>
      <c r="J80" s="58">
        <f>0.73*(J77-20)</f>
        <v>15.33</v>
      </c>
      <c r="K80" s="58"/>
      <c r="N80" s="58" t="s">
        <v>40</v>
      </c>
      <c r="O80" s="58"/>
      <c r="P80" s="58">
        <f>0.73*(P77-20)</f>
        <v>10.95</v>
      </c>
      <c r="Q80" s="58"/>
    </row>
    <row r="82" spans="1:18" x14ac:dyDescent="0.25">
      <c r="A82" s="61" t="s">
        <v>41</v>
      </c>
      <c r="B82" s="61"/>
      <c r="C82" s="61"/>
      <c r="D82" s="61"/>
      <c r="E82" s="61"/>
      <c r="F82" s="61"/>
      <c r="G82" s="65" t="s">
        <v>41</v>
      </c>
      <c r="H82" s="65"/>
      <c r="I82" s="65"/>
      <c r="J82" s="65"/>
      <c r="K82" s="65"/>
      <c r="L82" s="65"/>
      <c r="M82" s="61" t="s">
        <v>41</v>
      </c>
      <c r="N82" s="61"/>
      <c r="O82" s="61"/>
      <c r="P82" s="61"/>
      <c r="Q82" s="61"/>
      <c r="R82" s="61"/>
    </row>
    <row r="84" spans="1:18" x14ac:dyDescent="0.25">
      <c r="B84" s="58" t="s">
        <v>45</v>
      </c>
      <c r="C84" s="58"/>
      <c r="D84" s="59">
        <v>0</v>
      </c>
      <c r="E84" s="59"/>
      <c r="H84" s="58" t="s">
        <v>45</v>
      </c>
      <c r="I84" s="58"/>
      <c r="J84" s="59">
        <v>7.0000000000000001E-3</v>
      </c>
      <c r="K84" s="59"/>
      <c r="N84" s="58" t="s">
        <v>45</v>
      </c>
      <c r="O84" s="58"/>
      <c r="P84" s="59">
        <v>1.0500000000000001E-2</v>
      </c>
      <c r="Q84" s="59"/>
    </row>
    <row r="85" spans="1:18" x14ac:dyDescent="0.25">
      <c r="B85" s="58" t="s">
        <v>46</v>
      </c>
      <c r="C85" s="58"/>
      <c r="D85" s="59">
        <v>0.30299999999999999</v>
      </c>
      <c r="E85" s="59"/>
      <c r="H85" s="58" t="s">
        <v>46</v>
      </c>
      <c r="I85" s="58"/>
      <c r="J85" s="59">
        <v>0.24560000000000001</v>
      </c>
      <c r="K85" s="59"/>
      <c r="N85" s="58" t="s">
        <v>46</v>
      </c>
      <c r="O85" s="58"/>
      <c r="P85" s="59">
        <v>0.1133</v>
      </c>
      <c r="Q85" s="59"/>
    </row>
    <row r="86" spans="1:18" x14ac:dyDescent="0.25">
      <c r="B86" s="58" t="s">
        <v>47</v>
      </c>
      <c r="C86" s="58"/>
      <c r="D86" s="59">
        <v>0.69699999999999995</v>
      </c>
      <c r="E86" s="59"/>
      <c r="H86" s="58" t="s">
        <v>47</v>
      </c>
      <c r="I86" s="58"/>
      <c r="J86" s="59">
        <v>0.74739999999999995</v>
      </c>
      <c r="K86" s="59"/>
      <c r="N86" s="58" t="s">
        <v>47</v>
      </c>
      <c r="O86" s="58"/>
      <c r="P86" s="59">
        <v>0.87619999999999998</v>
      </c>
      <c r="Q86" s="59"/>
    </row>
    <row r="88" spans="1:18" x14ac:dyDescent="0.25">
      <c r="B88" s="60" t="s">
        <v>48</v>
      </c>
      <c r="C88" s="60"/>
      <c r="D88" s="58" t="s">
        <v>58</v>
      </c>
      <c r="E88" s="58"/>
      <c r="H88" s="60" t="s">
        <v>48</v>
      </c>
      <c r="I88" s="60"/>
      <c r="J88" s="58" t="s">
        <v>49</v>
      </c>
      <c r="K88" s="58"/>
      <c r="N88" s="60" t="s">
        <v>48</v>
      </c>
      <c r="O88" s="60"/>
      <c r="P88" s="58" t="s">
        <v>49</v>
      </c>
      <c r="Q88" s="58"/>
    </row>
    <row r="89" spans="1:18" x14ac:dyDescent="0.25">
      <c r="B89" s="60"/>
      <c r="C89" s="60"/>
      <c r="D89" s="58" t="s">
        <v>59</v>
      </c>
      <c r="E89" s="58"/>
      <c r="H89" s="60"/>
      <c r="I89" s="60"/>
      <c r="J89" s="58" t="s">
        <v>50</v>
      </c>
      <c r="K89" s="58"/>
      <c r="N89" s="60"/>
      <c r="O89" s="60"/>
      <c r="P89" s="58" t="s">
        <v>50</v>
      </c>
      <c r="Q89" s="58"/>
    </row>
    <row r="91" spans="1:18" x14ac:dyDescent="0.25">
      <c r="E91" s="37">
        <v>10</v>
      </c>
      <c r="F91" s="37">
        <f>(0.8195-0.093*LN(25))*100</f>
        <v>52.014454828725732</v>
      </c>
      <c r="G91" s="37"/>
      <c r="H91" s="37"/>
      <c r="I91" s="37"/>
      <c r="J91" s="37">
        <v>10</v>
      </c>
      <c r="K91" s="37">
        <f>(0.5942-0.056*LN(25))*100</f>
        <v>41.394295380738072</v>
      </c>
      <c r="L91" s="37"/>
      <c r="M91" s="37"/>
      <c r="N91" s="37"/>
      <c r="O91" s="37">
        <v>10</v>
      </c>
      <c r="P91" s="37">
        <f>(0.5538-0.064*LN(25))*100</f>
        <v>34.779194720843506</v>
      </c>
    </row>
    <row r="92" spans="1:18" x14ac:dyDescent="0.25">
      <c r="E92" s="37">
        <v>25</v>
      </c>
      <c r="F92" s="37">
        <f>(0.8195-0.093*LN(25))*100</f>
        <v>52.014454828725732</v>
      </c>
      <c r="G92" s="37"/>
      <c r="H92" s="37"/>
      <c r="I92" s="37"/>
      <c r="J92" s="37">
        <v>25</v>
      </c>
      <c r="K92" s="37">
        <f>(0.5942-0.056*LN(25))*100</f>
        <v>41.394295380738072</v>
      </c>
      <c r="L92" s="37"/>
      <c r="M92" s="37"/>
      <c r="N92" s="37"/>
      <c r="O92" s="37">
        <v>25</v>
      </c>
      <c r="P92" s="37">
        <f>(0.5538-0.064*LN(25))*100</f>
        <v>34.779194720843506</v>
      </c>
    </row>
    <row r="93" spans="1:18" x14ac:dyDescent="0.25">
      <c r="E93" s="37">
        <v>25</v>
      </c>
      <c r="F93" s="37">
        <v>0.47</v>
      </c>
      <c r="G93" s="37"/>
      <c r="H93" s="37"/>
      <c r="I93" s="37"/>
      <c r="J93" s="37">
        <v>25</v>
      </c>
      <c r="K93" s="37">
        <v>0.39</v>
      </c>
      <c r="L93" s="37"/>
      <c r="M93" s="37"/>
      <c r="N93" s="37"/>
      <c r="O93" s="37">
        <v>25</v>
      </c>
      <c r="P93" s="37">
        <v>0.32</v>
      </c>
    </row>
    <row r="94" spans="1:18" x14ac:dyDescent="0.25"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</sheetData>
  <mergeCells count="117">
    <mergeCell ref="D79:E79"/>
    <mergeCell ref="D80:E80"/>
    <mergeCell ref="A1:F2"/>
    <mergeCell ref="A12:B12"/>
    <mergeCell ref="C12:F12"/>
    <mergeCell ref="A55:F55"/>
    <mergeCell ref="A60:B60"/>
    <mergeCell ref="C60:F60"/>
    <mergeCell ref="A3:F4"/>
    <mergeCell ref="A6:F6"/>
    <mergeCell ref="A30:F30"/>
    <mergeCell ref="A48:F48"/>
    <mergeCell ref="A9:B9"/>
    <mergeCell ref="A10:B10"/>
    <mergeCell ref="C9:F9"/>
    <mergeCell ref="C10:F10"/>
    <mergeCell ref="A13:B13"/>
    <mergeCell ref="C13:C14"/>
    <mergeCell ref="D13:D14"/>
    <mergeCell ref="E13:E14"/>
    <mergeCell ref="F13:F14"/>
    <mergeCell ref="I12:L12"/>
    <mergeCell ref="G1:L2"/>
    <mergeCell ref="G3:L4"/>
    <mergeCell ref="G6:L6"/>
    <mergeCell ref="G9:H9"/>
    <mergeCell ref="I9:L9"/>
    <mergeCell ref="D88:E88"/>
    <mergeCell ref="B88:C89"/>
    <mergeCell ref="D89:E89"/>
    <mergeCell ref="B85:C85"/>
    <mergeCell ref="D85:E85"/>
    <mergeCell ref="B86:C86"/>
    <mergeCell ref="D86:E86"/>
    <mergeCell ref="A82:F82"/>
    <mergeCell ref="A11:B11"/>
    <mergeCell ref="C11:F11"/>
    <mergeCell ref="B84:C84"/>
    <mergeCell ref="D84:E84"/>
    <mergeCell ref="B77:C77"/>
    <mergeCell ref="B78:C78"/>
    <mergeCell ref="B79:C79"/>
    <mergeCell ref="B80:C80"/>
    <mergeCell ref="D77:E77"/>
    <mergeCell ref="D78:E78"/>
    <mergeCell ref="H88:I89"/>
    <mergeCell ref="J88:K88"/>
    <mergeCell ref="J89:K89"/>
    <mergeCell ref="H80:I80"/>
    <mergeCell ref="J80:K80"/>
    <mergeCell ref="G82:L82"/>
    <mergeCell ref="H84:I84"/>
    <mergeCell ref="J84:K84"/>
    <mergeCell ref="H77:I77"/>
    <mergeCell ref="J77:K77"/>
    <mergeCell ref="H78:I78"/>
    <mergeCell ref="J78:K78"/>
    <mergeCell ref="H79:I79"/>
    <mergeCell ref="J79:K79"/>
    <mergeCell ref="M1:R2"/>
    <mergeCell ref="M3:R4"/>
    <mergeCell ref="M6:R6"/>
    <mergeCell ref="M9:N9"/>
    <mergeCell ref="O9:R9"/>
    <mergeCell ref="H85:I85"/>
    <mergeCell ref="J85:K85"/>
    <mergeCell ref="H86:I86"/>
    <mergeCell ref="J86:K86"/>
    <mergeCell ref="G30:L30"/>
    <mergeCell ref="G48:L48"/>
    <mergeCell ref="G55:L55"/>
    <mergeCell ref="G60:H60"/>
    <mergeCell ref="I60:L60"/>
    <mergeCell ref="G13:H13"/>
    <mergeCell ref="I13:I14"/>
    <mergeCell ref="J13:J14"/>
    <mergeCell ref="K13:K14"/>
    <mergeCell ref="L13:L14"/>
    <mergeCell ref="G10:H10"/>
    <mergeCell ref="I10:L10"/>
    <mergeCell ref="G11:H11"/>
    <mergeCell ref="I11:L11"/>
    <mergeCell ref="G12:H12"/>
    <mergeCell ref="M13:N13"/>
    <mergeCell ref="O13:O14"/>
    <mergeCell ref="P13:P14"/>
    <mergeCell ref="Q13:Q14"/>
    <mergeCell ref="R13:R14"/>
    <mergeCell ref="M10:N10"/>
    <mergeCell ref="O10:R10"/>
    <mergeCell ref="M11:N11"/>
    <mergeCell ref="O11:R11"/>
    <mergeCell ref="M12:N12"/>
    <mergeCell ref="O12:R12"/>
    <mergeCell ref="N77:O77"/>
    <mergeCell ref="P77:Q77"/>
    <mergeCell ref="N78:O78"/>
    <mergeCell ref="P78:Q78"/>
    <mergeCell ref="N79:O79"/>
    <mergeCell ref="P79:Q79"/>
    <mergeCell ref="M30:R30"/>
    <mergeCell ref="M48:R48"/>
    <mergeCell ref="M55:R55"/>
    <mergeCell ref="M60:N60"/>
    <mergeCell ref="O60:R60"/>
    <mergeCell ref="N85:O85"/>
    <mergeCell ref="P85:Q85"/>
    <mergeCell ref="N86:O86"/>
    <mergeCell ref="P86:Q86"/>
    <mergeCell ref="N88:O89"/>
    <mergeCell ref="P88:Q88"/>
    <mergeCell ref="P89:Q89"/>
    <mergeCell ref="N80:O80"/>
    <mergeCell ref="P80:Q80"/>
    <mergeCell ref="M82:R82"/>
    <mergeCell ref="N84:O84"/>
    <mergeCell ref="P84:Q8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8BB9-4DCB-410D-8338-B5A6E1CA3CE1}">
  <dimension ref="A1:AH610"/>
  <sheetViews>
    <sheetView topLeftCell="A154" zoomScale="70" zoomScaleNormal="70" workbookViewId="0">
      <selection activeCell="F190" sqref="F190"/>
    </sheetView>
  </sheetViews>
  <sheetFormatPr baseColWidth="10" defaultRowHeight="15" x14ac:dyDescent="0.25"/>
  <cols>
    <col min="1" max="5" width="13.7109375" style="1" customWidth="1"/>
    <col min="6" max="6" width="13.7109375" style="13" customWidth="1"/>
    <col min="7" max="11" width="13.7109375" style="1" customWidth="1"/>
    <col min="12" max="12" width="13.7109375" style="13" customWidth="1"/>
    <col min="13" max="17" width="13.7109375" style="33" customWidth="1"/>
    <col min="18" max="18" width="13.7109375" style="29" customWidth="1"/>
  </cols>
  <sheetData>
    <row r="1" spans="1:18" x14ac:dyDescent="0.25">
      <c r="A1" s="66" t="s">
        <v>72</v>
      </c>
      <c r="B1" s="66"/>
      <c r="C1" s="66"/>
      <c r="D1" s="66"/>
      <c r="E1" s="66"/>
      <c r="F1" s="66"/>
      <c r="G1" s="66" t="s">
        <v>92</v>
      </c>
      <c r="H1" s="66"/>
      <c r="I1" s="66"/>
      <c r="J1" s="66"/>
      <c r="K1" s="66"/>
      <c r="L1" s="66"/>
      <c r="M1" s="68" t="s">
        <v>96</v>
      </c>
      <c r="N1" s="68"/>
      <c r="O1" s="68"/>
      <c r="P1" s="68"/>
      <c r="Q1" s="68"/>
      <c r="R1" s="68"/>
    </row>
    <row r="2" spans="1:1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68"/>
      <c r="P2" s="68"/>
      <c r="Q2" s="68"/>
      <c r="R2" s="68"/>
    </row>
    <row r="3" spans="1:18" x14ac:dyDescent="0.25">
      <c r="A3" s="66" t="s">
        <v>0</v>
      </c>
      <c r="B3" s="66"/>
      <c r="C3" s="66"/>
      <c r="D3" s="66"/>
      <c r="E3" s="66"/>
      <c r="F3" s="66"/>
      <c r="G3" s="66" t="s">
        <v>0</v>
      </c>
      <c r="H3" s="66"/>
      <c r="I3" s="66"/>
      <c r="J3" s="66"/>
      <c r="K3" s="66"/>
      <c r="L3" s="66"/>
      <c r="M3" s="68" t="s">
        <v>0</v>
      </c>
      <c r="N3" s="68"/>
      <c r="O3" s="68"/>
      <c r="P3" s="68"/>
      <c r="Q3" s="68"/>
      <c r="R3" s="68"/>
    </row>
    <row r="4" spans="1:18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8"/>
      <c r="O4" s="68"/>
      <c r="P4" s="68"/>
      <c r="Q4" s="68"/>
      <c r="R4" s="68"/>
    </row>
    <row r="6" spans="1:18" x14ac:dyDescent="0.25">
      <c r="A6" s="61" t="s">
        <v>132</v>
      </c>
      <c r="B6" s="61"/>
      <c r="C6" s="61"/>
      <c r="D6" s="61"/>
      <c r="E6" s="61"/>
      <c r="F6" s="61"/>
      <c r="G6" s="61" t="s">
        <v>132</v>
      </c>
      <c r="H6" s="61"/>
      <c r="I6" s="61"/>
      <c r="J6" s="61"/>
      <c r="K6" s="61"/>
      <c r="L6" s="61"/>
      <c r="M6" s="65" t="s">
        <v>132</v>
      </c>
      <c r="N6" s="65"/>
      <c r="O6" s="65"/>
      <c r="P6" s="65"/>
      <c r="Q6" s="65"/>
      <c r="R6" s="65"/>
    </row>
    <row r="8" spans="1:18" x14ac:dyDescent="0.25">
      <c r="C8" s="1" t="s">
        <v>1</v>
      </c>
      <c r="E8" s="61" t="s">
        <v>133</v>
      </c>
      <c r="F8" s="61"/>
      <c r="I8" s="1" t="s">
        <v>1</v>
      </c>
      <c r="K8" s="61" t="s">
        <v>133</v>
      </c>
      <c r="L8" s="61"/>
      <c r="O8" s="33" t="s">
        <v>1</v>
      </c>
      <c r="Q8" s="65" t="s">
        <v>133</v>
      </c>
      <c r="R8" s="65"/>
    </row>
    <row r="9" spans="1:18" x14ac:dyDescent="0.25">
      <c r="A9" s="61" t="s">
        <v>25</v>
      </c>
      <c r="B9" s="61"/>
      <c r="C9" s="61" t="s">
        <v>52</v>
      </c>
      <c r="D9" s="61"/>
      <c r="E9" s="61"/>
      <c r="F9" s="61"/>
      <c r="G9" s="61" t="s">
        <v>25</v>
      </c>
      <c r="H9" s="61"/>
      <c r="I9" s="61" t="s">
        <v>54</v>
      </c>
      <c r="J9" s="61"/>
      <c r="K9" s="61"/>
      <c r="L9" s="61"/>
      <c r="M9" s="65" t="s">
        <v>25</v>
      </c>
      <c r="N9" s="65"/>
      <c r="O9" s="65" t="s">
        <v>56</v>
      </c>
      <c r="P9" s="65"/>
      <c r="Q9" s="65"/>
      <c r="R9" s="65"/>
    </row>
    <row r="10" spans="1:18" x14ac:dyDescent="0.25">
      <c r="A10" s="61" t="s">
        <v>44</v>
      </c>
      <c r="B10" s="61"/>
      <c r="C10" s="61" t="s">
        <v>53</v>
      </c>
      <c r="D10" s="61"/>
      <c r="E10" s="61"/>
      <c r="F10" s="61"/>
      <c r="G10" s="61" t="s">
        <v>44</v>
      </c>
      <c r="H10" s="61"/>
      <c r="I10" s="61" t="s">
        <v>36</v>
      </c>
      <c r="J10" s="61"/>
      <c r="K10" s="61"/>
      <c r="L10" s="61"/>
      <c r="M10" s="65" t="s">
        <v>44</v>
      </c>
      <c r="N10" s="65"/>
      <c r="O10" s="65" t="s">
        <v>55</v>
      </c>
      <c r="P10" s="65"/>
      <c r="Q10" s="65"/>
      <c r="R10" s="65"/>
    </row>
    <row r="14" spans="1:18" ht="45" x14ac:dyDescent="0.25">
      <c r="A14" s="5" t="s">
        <v>27</v>
      </c>
      <c r="B14" s="5" t="s">
        <v>28</v>
      </c>
      <c r="C14" s="5" t="s">
        <v>74</v>
      </c>
      <c r="D14" s="5" t="s">
        <v>75</v>
      </c>
      <c r="E14" s="5" t="s">
        <v>76</v>
      </c>
      <c r="F14" s="22" t="s">
        <v>32</v>
      </c>
      <c r="G14" s="5" t="s">
        <v>27</v>
      </c>
      <c r="H14" s="5" t="s">
        <v>28</v>
      </c>
      <c r="I14" s="5" t="s">
        <v>74</v>
      </c>
      <c r="J14" s="5" t="s">
        <v>75</v>
      </c>
      <c r="K14" s="5" t="s">
        <v>76</v>
      </c>
      <c r="L14" s="22" t="s">
        <v>32</v>
      </c>
      <c r="M14" s="25" t="s">
        <v>27</v>
      </c>
      <c r="N14" s="25" t="s">
        <v>28</v>
      </c>
      <c r="O14" s="25" t="s">
        <v>74</v>
      </c>
      <c r="P14" s="25" t="s">
        <v>75</v>
      </c>
      <c r="Q14" s="25" t="s">
        <v>76</v>
      </c>
      <c r="R14" s="31" t="s">
        <v>32</v>
      </c>
    </row>
    <row r="15" spans="1:18" ht="30" customHeight="1" x14ac:dyDescent="0.25">
      <c r="A15" s="2" t="s">
        <v>60</v>
      </c>
      <c r="B15" s="2">
        <v>34</v>
      </c>
      <c r="C15" s="16">
        <v>40.799999999999997</v>
      </c>
      <c r="D15" s="16">
        <v>69</v>
      </c>
      <c r="E15" s="16">
        <v>59.5</v>
      </c>
      <c r="F15" s="21">
        <f>(D15-E15)/(E15-C15)*100</f>
        <v>50.80213903743315</v>
      </c>
      <c r="G15" s="2" t="s">
        <v>63</v>
      </c>
      <c r="H15" s="2">
        <v>35</v>
      </c>
      <c r="I15" s="16">
        <v>38.299999999999997</v>
      </c>
      <c r="J15" s="16">
        <v>44.8</v>
      </c>
      <c r="K15" s="16">
        <v>43</v>
      </c>
      <c r="L15" s="21">
        <f>(J15-K15)/(K15-I15)*100</f>
        <v>38.29787234042545</v>
      </c>
      <c r="M15" s="26" t="s">
        <v>34</v>
      </c>
      <c r="N15" s="26">
        <v>25</v>
      </c>
      <c r="O15" s="27">
        <v>44.8</v>
      </c>
      <c r="P15" s="27">
        <v>69</v>
      </c>
      <c r="Q15" s="27">
        <v>62.6</v>
      </c>
      <c r="R15" s="32">
        <v>35.954999999999998</v>
      </c>
    </row>
    <row r="16" spans="1:18" ht="30" customHeight="1" x14ac:dyDescent="0.25">
      <c r="A16" s="2" t="s">
        <v>63</v>
      </c>
      <c r="B16" s="2">
        <v>28</v>
      </c>
      <c r="C16" s="16">
        <v>38.299999999999997</v>
      </c>
      <c r="D16" s="16">
        <v>68.3</v>
      </c>
      <c r="E16" s="16">
        <v>57.8</v>
      </c>
      <c r="F16" s="21">
        <f t="shared" ref="F16:F17" si="0">(D16-E16)/(E16-C16)*100</f>
        <v>53.846153846153847</v>
      </c>
      <c r="G16" s="2" t="s">
        <v>34</v>
      </c>
      <c r="H16" s="2">
        <v>25</v>
      </c>
      <c r="I16" s="16">
        <v>44.8</v>
      </c>
      <c r="J16" s="16">
        <v>51.8</v>
      </c>
      <c r="K16" s="16">
        <v>49.8</v>
      </c>
      <c r="L16" s="21">
        <f t="shared" ref="L16:L17" si="1">(J16-K16)/(K16-I16)*100</f>
        <v>40</v>
      </c>
      <c r="M16" s="26" t="s">
        <v>89</v>
      </c>
      <c r="N16" s="26">
        <v>22</v>
      </c>
      <c r="O16" s="27">
        <v>45.8</v>
      </c>
      <c r="P16" s="27">
        <v>79.900000000000006</v>
      </c>
      <c r="Q16" s="27">
        <v>70.7</v>
      </c>
      <c r="R16" s="32">
        <v>36.948</v>
      </c>
    </row>
    <row r="17" spans="1:18" ht="30" customHeight="1" x14ac:dyDescent="0.25">
      <c r="A17" s="2" t="s">
        <v>68</v>
      </c>
      <c r="B17" s="2">
        <v>16</v>
      </c>
      <c r="C17" s="16">
        <v>39.9</v>
      </c>
      <c r="D17" s="16">
        <v>72.599999999999994</v>
      </c>
      <c r="E17" s="16">
        <v>61</v>
      </c>
      <c r="F17" s="21">
        <f t="shared" si="0"/>
        <v>54.97630331753551</v>
      </c>
      <c r="G17" s="2" t="s">
        <v>90</v>
      </c>
      <c r="H17" s="2">
        <v>23</v>
      </c>
      <c r="I17" s="16">
        <v>50.3</v>
      </c>
      <c r="J17" s="16">
        <v>60.5</v>
      </c>
      <c r="K17" s="16">
        <v>57.5</v>
      </c>
      <c r="L17" s="21">
        <f t="shared" si="1"/>
        <v>41.66666666666665</v>
      </c>
      <c r="M17" s="26" t="s">
        <v>38</v>
      </c>
      <c r="N17" s="26">
        <v>16</v>
      </c>
      <c r="O17" s="27">
        <v>48</v>
      </c>
      <c r="P17" s="27">
        <v>78.7</v>
      </c>
      <c r="Q17" s="27">
        <v>70.5</v>
      </c>
      <c r="R17" s="32">
        <v>36.444000000000003</v>
      </c>
    </row>
    <row r="18" spans="1:18" x14ac:dyDescent="0.25">
      <c r="A18" s="13"/>
      <c r="B18" s="13"/>
      <c r="C18" s="13"/>
      <c r="D18" s="13"/>
      <c r="E18" s="13"/>
      <c r="G18" s="13"/>
    </row>
    <row r="19" spans="1:18" x14ac:dyDescent="0.25">
      <c r="A19" s="13"/>
      <c r="B19" s="13"/>
      <c r="C19" s="13"/>
      <c r="D19" s="13"/>
      <c r="E19" s="13"/>
      <c r="G19" s="13"/>
    </row>
    <row r="20" spans="1:18" x14ac:dyDescent="0.25">
      <c r="A20" s="13"/>
      <c r="B20" s="13"/>
      <c r="C20" s="13"/>
      <c r="D20" s="13"/>
      <c r="E20" s="13"/>
      <c r="G20" s="13"/>
    </row>
    <row r="21" spans="1:18" x14ac:dyDescent="0.25">
      <c r="A21" s="13"/>
      <c r="B21" s="13"/>
      <c r="C21" s="13"/>
      <c r="D21" s="13"/>
      <c r="E21" s="13"/>
      <c r="G21" s="13"/>
    </row>
    <row r="22" spans="1:18" x14ac:dyDescent="0.25">
      <c r="A22" s="13"/>
      <c r="B22" s="13"/>
      <c r="C22" s="13"/>
      <c r="D22" s="13"/>
      <c r="E22" s="13"/>
      <c r="G22" s="13"/>
    </row>
    <row r="23" spans="1:18" x14ac:dyDescent="0.25">
      <c r="A23" s="13"/>
      <c r="B23" s="13"/>
      <c r="C23" s="13"/>
      <c r="D23" s="13"/>
      <c r="E23" s="13"/>
      <c r="G23" s="13"/>
    </row>
    <row r="24" spans="1:18" x14ac:dyDescent="0.25">
      <c r="A24" s="13"/>
      <c r="B24" s="13"/>
      <c r="C24" s="13"/>
      <c r="D24" s="13"/>
      <c r="E24" s="13"/>
      <c r="G24" s="13"/>
    </row>
    <row r="25" spans="1:18" x14ac:dyDescent="0.25">
      <c r="A25" s="13"/>
      <c r="B25" s="13"/>
      <c r="C25" s="13"/>
      <c r="D25" s="13"/>
      <c r="E25" s="13"/>
      <c r="G25" s="13"/>
    </row>
    <row r="26" spans="1:18" x14ac:dyDescent="0.25">
      <c r="A26" s="13"/>
      <c r="B26" s="13"/>
      <c r="C26" s="13"/>
      <c r="D26" s="13"/>
      <c r="E26" s="13"/>
      <c r="G26" s="13"/>
    </row>
    <row r="27" spans="1:18" x14ac:dyDescent="0.25">
      <c r="A27" s="13"/>
      <c r="B27" s="13"/>
      <c r="C27" s="13"/>
      <c r="D27" s="13"/>
      <c r="E27" s="13"/>
      <c r="G27" s="13"/>
    </row>
    <row r="28" spans="1:18" x14ac:dyDescent="0.25">
      <c r="A28" s="13"/>
      <c r="B28" s="13"/>
      <c r="C28" s="13"/>
      <c r="D28" s="13"/>
      <c r="E28" s="13"/>
      <c r="G28" s="13"/>
    </row>
    <row r="29" spans="1:18" x14ac:dyDescent="0.25">
      <c r="A29" s="13"/>
      <c r="B29" s="13"/>
      <c r="C29" s="13"/>
      <c r="D29" s="13"/>
      <c r="E29" s="13"/>
      <c r="G29" s="13"/>
    </row>
    <row r="30" spans="1:18" x14ac:dyDescent="0.25">
      <c r="A30" s="13"/>
      <c r="B30" s="13"/>
      <c r="C30" s="13"/>
      <c r="D30" s="13"/>
      <c r="E30" s="13"/>
      <c r="G30" s="13"/>
    </row>
    <row r="31" spans="1:18" x14ac:dyDescent="0.25">
      <c r="A31" s="13"/>
      <c r="B31" s="13"/>
      <c r="C31" s="13"/>
      <c r="D31" s="13"/>
      <c r="E31" s="13"/>
      <c r="G31" s="13"/>
    </row>
    <row r="32" spans="1:18" x14ac:dyDescent="0.25">
      <c r="A32" s="13"/>
      <c r="B32" s="13"/>
      <c r="C32" s="13"/>
      <c r="D32" s="13"/>
      <c r="E32" s="13"/>
      <c r="G32" s="13"/>
    </row>
    <row r="33" spans="1:18" x14ac:dyDescent="0.25">
      <c r="A33" s="13"/>
      <c r="B33" s="13"/>
      <c r="C33" s="13"/>
      <c r="D33" s="13"/>
      <c r="E33" s="13"/>
      <c r="G33" s="13"/>
    </row>
    <row r="34" spans="1:18" x14ac:dyDescent="0.25">
      <c r="A34" s="13"/>
      <c r="B34" s="13"/>
      <c r="C34" s="13"/>
      <c r="D34" s="13"/>
      <c r="E34" s="13"/>
      <c r="G34" s="13"/>
    </row>
    <row r="35" spans="1:18" x14ac:dyDescent="0.25">
      <c r="A35" s="13"/>
      <c r="B35" s="13"/>
      <c r="C35" s="13"/>
      <c r="D35" s="13"/>
      <c r="E35" s="13"/>
      <c r="G35" s="13"/>
    </row>
    <row r="36" spans="1:18" x14ac:dyDescent="0.25">
      <c r="A36" s="13"/>
      <c r="D36" s="13"/>
      <c r="E36" s="13"/>
      <c r="G36" s="13"/>
    </row>
    <row r="37" spans="1:18" x14ac:dyDescent="0.25">
      <c r="A37" s="13"/>
      <c r="D37" s="13"/>
      <c r="E37" s="13"/>
      <c r="G37" s="13"/>
    </row>
    <row r="38" spans="1:18" x14ac:dyDescent="0.25">
      <c r="A38" s="13"/>
      <c r="B38" s="75" t="s">
        <v>136</v>
      </c>
      <c r="C38" s="76"/>
      <c r="D38" s="82">
        <v>53</v>
      </c>
      <c r="E38" s="83"/>
      <c r="G38" s="13"/>
      <c r="H38" s="75" t="s">
        <v>136</v>
      </c>
      <c r="I38" s="76"/>
      <c r="J38" s="75">
        <v>40</v>
      </c>
      <c r="K38" s="76"/>
      <c r="N38" s="71" t="s">
        <v>136</v>
      </c>
      <c r="O38" s="72"/>
      <c r="P38" s="71">
        <v>36</v>
      </c>
      <c r="Q38" s="72"/>
    </row>
    <row r="39" spans="1:18" x14ac:dyDescent="0.25">
      <c r="A39" s="13"/>
      <c r="B39" s="77"/>
      <c r="C39" s="78"/>
      <c r="D39" s="84"/>
      <c r="E39" s="85"/>
      <c r="G39" s="13"/>
      <c r="H39" s="77"/>
      <c r="I39" s="78"/>
      <c r="J39" s="77"/>
      <c r="K39" s="78"/>
      <c r="N39" s="73"/>
      <c r="O39" s="74"/>
      <c r="P39" s="73"/>
      <c r="Q39" s="74"/>
    </row>
    <row r="40" spans="1:18" x14ac:dyDescent="0.25">
      <c r="A40" s="13"/>
      <c r="B40" s="13"/>
      <c r="C40" s="13"/>
      <c r="D40" s="29"/>
      <c r="E40" s="34"/>
      <c r="F40" s="29"/>
      <c r="G40" s="13"/>
      <c r="J40" s="35"/>
      <c r="K40" s="35"/>
      <c r="L40" s="36"/>
    </row>
    <row r="41" spans="1:18" x14ac:dyDescent="0.25">
      <c r="A41" s="13"/>
      <c r="B41" s="13"/>
      <c r="C41" s="19">
        <f>(0.6847-0.048*LN(25))*100</f>
        <v>53.019396040632635</v>
      </c>
      <c r="D41" s="37">
        <v>10</v>
      </c>
      <c r="E41" s="29"/>
      <c r="F41" s="29"/>
      <c r="G41" s="13"/>
      <c r="J41" s="37">
        <v>10</v>
      </c>
      <c r="K41" s="37">
        <f>(0.5972-0.06*LN(25))*100</f>
        <v>40.406745050790796</v>
      </c>
      <c r="L41" s="36"/>
      <c r="N41" s="37">
        <v>10</v>
      </c>
      <c r="O41" s="37">
        <f>(0.38213-0.00583*LN(25))*100</f>
        <v>36.336395394101842</v>
      </c>
    </row>
    <row r="42" spans="1:18" x14ac:dyDescent="0.25">
      <c r="A42" s="13"/>
      <c r="B42" s="13"/>
      <c r="C42" s="19">
        <f>(0.6847-0.048*LN(25))*100</f>
        <v>53.019396040632635</v>
      </c>
      <c r="D42" s="20">
        <v>25</v>
      </c>
      <c r="E42" s="29"/>
      <c r="F42" s="29"/>
      <c r="G42" s="13"/>
      <c r="J42" s="37">
        <v>25</v>
      </c>
      <c r="K42" s="37">
        <f>(0.5972-0.06*LN(25))*100</f>
        <v>40.406745050790796</v>
      </c>
      <c r="L42" s="36"/>
      <c r="N42" s="37">
        <v>25</v>
      </c>
      <c r="O42" s="37">
        <f>(0.38213-0.00583*LN(25))*100</f>
        <v>36.336395394101842</v>
      </c>
    </row>
    <row r="43" spans="1:18" x14ac:dyDescent="0.25">
      <c r="A43" s="13"/>
      <c r="B43" s="13"/>
      <c r="C43" s="20">
        <v>0</v>
      </c>
      <c r="D43" s="20">
        <v>25</v>
      </c>
      <c r="E43" s="29"/>
      <c r="F43" s="29"/>
      <c r="G43" s="13"/>
      <c r="J43" s="37">
        <v>25</v>
      </c>
      <c r="K43" s="37">
        <v>0</v>
      </c>
      <c r="L43" s="36"/>
      <c r="N43" s="37">
        <v>25</v>
      </c>
      <c r="O43" s="37">
        <v>0</v>
      </c>
    </row>
    <row r="44" spans="1:18" x14ac:dyDescent="0.25">
      <c r="A44" s="13"/>
      <c r="B44" s="13"/>
      <c r="C44" s="38"/>
      <c r="D44" s="29"/>
      <c r="E44" s="29"/>
      <c r="F44" s="29"/>
      <c r="G44" s="13"/>
    </row>
    <row r="45" spans="1:18" x14ac:dyDescent="0.25">
      <c r="A45" s="66" t="s">
        <v>73</v>
      </c>
      <c r="B45" s="66"/>
      <c r="C45" s="66"/>
      <c r="D45" s="66"/>
      <c r="E45" s="66"/>
      <c r="F45" s="66"/>
      <c r="G45" s="66" t="s">
        <v>93</v>
      </c>
      <c r="H45" s="66"/>
      <c r="I45" s="66"/>
      <c r="J45" s="66"/>
      <c r="K45" s="66"/>
      <c r="L45" s="66"/>
      <c r="M45" s="68" t="s">
        <v>97</v>
      </c>
      <c r="N45" s="68"/>
      <c r="O45" s="68"/>
      <c r="P45" s="68"/>
      <c r="Q45" s="68"/>
      <c r="R45" s="68"/>
    </row>
    <row r="46" spans="1:1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8"/>
      <c r="N46" s="68"/>
      <c r="O46" s="68"/>
      <c r="P46" s="68"/>
      <c r="Q46" s="68"/>
      <c r="R46" s="68"/>
    </row>
    <row r="47" spans="1:18" x14ac:dyDescent="0.25">
      <c r="A47" s="66" t="s">
        <v>0</v>
      </c>
      <c r="B47" s="66"/>
      <c r="C47" s="66"/>
      <c r="D47" s="66"/>
      <c r="E47" s="66"/>
      <c r="F47" s="66"/>
      <c r="G47" s="66" t="s">
        <v>0</v>
      </c>
      <c r="H47" s="66"/>
      <c r="I47" s="66"/>
      <c r="J47" s="66"/>
      <c r="K47" s="66"/>
      <c r="L47" s="66"/>
      <c r="M47" s="68" t="s">
        <v>0</v>
      </c>
      <c r="N47" s="68"/>
      <c r="O47" s="68"/>
      <c r="P47" s="68"/>
      <c r="Q47" s="68"/>
      <c r="R47" s="68"/>
    </row>
    <row r="48" spans="1:1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8"/>
      <c r="N48" s="68"/>
      <c r="O48" s="68"/>
      <c r="P48" s="68"/>
      <c r="Q48" s="68"/>
      <c r="R48" s="68"/>
    </row>
    <row r="50" spans="1:18" x14ac:dyDescent="0.25">
      <c r="A50" s="61" t="s">
        <v>132</v>
      </c>
      <c r="B50" s="61"/>
      <c r="C50" s="61"/>
      <c r="D50" s="61"/>
      <c r="E50" s="61"/>
      <c r="F50" s="61"/>
      <c r="G50" s="61" t="s">
        <v>132</v>
      </c>
      <c r="H50" s="61"/>
      <c r="I50" s="61"/>
      <c r="J50" s="61"/>
      <c r="K50" s="61"/>
      <c r="L50" s="61"/>
      <c r="M50" s="65" t="s">
        <v>132</v>
      </c>
      <c r="N50" s="65"/>
      <c r="O50" s="65"/>
      <c r="P50" s="65"/>
      <c r="Q50" s="65"/>
      <c r="R50" s="65"/>
    </row>
    <row r="52" spans="1:18" x14ac:dyDescent="0.25">
      <c r="C52" s="1" t="s">
        <v>1</v>
      </c>
      <c r="E52" s="61" t="s">
        <v>133</v>
      </c>
      <c r="F52" s="61"/>
      <c r="I52" s="1" t="s">
        <v>1</v>
      </c>
      <c r="K52" s="61" t="s">
        <v>133</v>
      </c>
      <c r="L52" s="61"/>
      <c r="O52" s="33" t="s">
        <v>1</v>
      </c>
      <c r="Q52" s="65" t="s">
        <v>133</v>
      </c>
      <c r="R52" s="65"/>
    </row>
    <row r="53" spans="1:18" x14ac:dyDescent="0.25">
      <c r="A53" s="61" t="s">
        <v>25</v>
      </c>
      <c r="B53" s="61"/>
      <c r="C53" s="61" t="s">
        <v>52</v>
      </c>
      <c r="D53" s="61"/>
      <c r="E53" s="61"/>
      <c r="F53" s="61"/>
      <c r="G53" s="61" t="s">
        <v>25</v>
      </c>
      <c r="H53" s="61"/>
      <c r="I53" s="61" t="s">
        <v>54</v>
      </c>
      <c r="J53" s="61"/>
      <c r="K53" s="61"/>
      <c r="L53" s="61"/>
      <c r="M53" s="65" t="s">
        <v>25</v>
      </c>
      <c r="N53" s="65"/>
      <c r="O53" s="65" t="s">
        <v>56</v>
      </c>
      <c r="P53" s="65"/>
      <c r="Q53" s="65"/>
      <c r="R53" s="65"/>
    </row>
    <row r="54" spans="1:18" x14ac:dyDescent="0.25">
      <c r="A54" s="61" t="s">
        <v>44</v>
      </c>
      <c r="B54" s="61"/>
      <c r="C54" s="61" t="s">
        <v>53</v>
      </c>
      <c r="D54" s="61"/>
      <c r="E54" s="61"/>
      <c r="F54" s="61"/>
      <c r="G54" s="61" t="s">
        <v>44</v>
      </c>
      <c r="H54" s="61"/>
      <c r="I54" s="61" t="s">
        <v>36</v>
      </c>
      <c r="J54" s="61"/>
      <c r="K54" s="61"/>
      <c r="L54" s="61"/>
      <c r="M54" s="65" t="s">
        <v>44</v>
      </c>
      <c r="N54" s="65"/>
      <c r="O54" s="65" t="s">
        <v>55</v>
      </c>
      <c r="P54" s="65"/>
      <c r="Q54" s="65"/>
      <c r="R54" s="65"/>
    </row>
    <row r="57" spans="1:18" x14ac:dyDescent="0.25">
      <c r="A57" s="13"/>
      <c r="B57" s="13"/>
      <c r="C57" s="13"/>
      <c r="D57" s="13"/>
      <c r="E57" s="13"/>
    </row>
    <row r="58" spans="1:18" ht="45" x14ac:dyDescent="0.25">
      <c r="A58" s="5" t="s">
        <v>27</v>
      </c>
      <c r="B58" s="5" t="s">
        <v>28</v>
      </c>
      <c r="C58" s="5" t="s">
        <v>74</v>
      </c>
      <c r="D58" s="5" t="s">
        <v>75</v>
      </c>
      <c r="E58" s="5" t="s">
        <v>76</v>
      </c>
      <c r="F58" s="22" t="s">
        <v>32</v>
      </c>
      <c r="G58" s="5" t="s">
        <v>27</v>
      </c>
      <c r="H58" s="5" t="s">
        <v>28</v>
      </c>
      <c r="I58" s="5" t="s">
        <v>74</v>
      </c>
      <c r="J58" s="5" t="s">
        <v>75</v>
      </c>
      <c r="K58" s="5" t="s">
        <v>76</v>
      </c>
      <c r="L58" s="22" t="s">
        <v>32</v>
      </c>
      <c r="M58" s="25" t="s">
        <v>27</v>
      </c>
      <c r="N58" s="25" t="s">
        <v>28</v>
      </c>
      <c r="O58" s="25" t="s">
        <v>74</v>
      </c>
      <c r="P58" s="25" t="s">
        <v>75</v>
      </c>
      <c r="Q58" s="25" t="s">
        <v>76</v>
      </c>
      <c r="R58" s="31" t="s">
        <v>32</v>
      </c>
    </row>
    <row r="59" spans="1:18" ht="30" customHeight="1" x14ac:dyDescent="0.25">
      <c r="A59" s="2" t="s">
        <v>62</v>
      </c>
      <c r="B59" s="2">
        <v>35</v>
      </c>
      <c r="C59" s="16">
        <v>45.4</v>
      </c>
      <c r="D59" s="16">
        <v>76</v>
      </c>
      <c r="E59" s="16">
        <v>65.400000000000006</v>
      </c>
      <c r="F59" s="21">
        <f t="shared" ref="F59:F61" si="2">(D59-E59)/(E59-C59)*100</f>
        <v>52.999999999999957</v>
      </c>
      <c r="G59" s="2" t="s">
        <v>83</v>
      </c>
      <c r="H59" s="2">
        <v>26</v>
      </c>
      <c r="I59" s="16">
        <v>42.7</v>
      </c>
      <c r="J59" s="16">
        <v>54.77</v>
      </c>
      <c r="K59" s="16">
        <v>51.22</v>
      </c>
      <c r="L59" s="21">
        <f>(J59-K59)/(K59-I59)*100</f>
        <v>41.666666666666735</v>
      </c>
      <c r="M59" s="26" t="s">
        <v>65</v>
      </c>
      <c r="N59" s="26">
        <v>32</v>
      </c>
      <c r="O59" s="27">
        <v>43.2</v>
      </c>
      <c r="P59" s="27">
        <v>81.5</v>
      </c>
      <c r="Q59" s="27">
        <v>71.900000000000006</v>
      </c>
      <c r="R59" s="32">
        <v>33.44</v>
      </c>
    </row>
    <row r="60" spans="1:18" ht="30" customHeight="1" x14ac:dyDescent="0.25">
      <c r="A60" s="2" t="s">
        <v>33</v>
      </c>
      <c r="B60" s="2">
        <v>25</v>
      </c>
      <c r="C60" s="16">
        <v>38.799999999999997</v>
      </c>
      <c r="D60" s="16">
        <v>69.900000000000006</v>
      </c>
      <c r="E60" s="16">
        <v>59</v>
      </c>
      <c r="F60" s="21">
        <f t="shared" si="2"/>
        <v>53.960396039603985</v>
      </c>
      <c r="G60" s="2" t="s">
        <v>86</v>
      </c>
      <c r="H60" s="2">
        <v>23</v>
      </c>
      <c r="I60" s="16">
        <v>46.5</v>
      </c>
      <c r="J60" s="16">
        <v>56.06</v>
      </c>
      <c r="K60" s="16">
        <v>53.195</v>
      </c>
      <c r="L60" s="21">
        <f t="shared" ref="L60:L61" si="3">(J60-K60)/(K60-I60)*100</f>
        <v>42.793129200896217</v>
      </c>
      <c r="M60" s="26" t="s">
        <v>66</v>
      </c>
      <c r="N60" s="26">
        <v>27</v>
      </c>
      <c r="O60" s="27">
        <v>42</v>
      </c>
      <c r="P60" s="27">
        <v>76.5</v>
      </c>
      <c r="Q60" s="27">
        <v>67.7</v>
      </c>
      <c r="R60" s="32">
        <v>34.24</v>
      </c>
    </row>
    <row r="61" spans="1:18" ht="30" customHeight="1" x14ac:dyDescent="0.25">
      <c r="A61" s="2" t="s">
        <v>34</v>
      </c>
      <c r="B61" s="2">
        <v>21</v>
      </c>
      <c r="C61" s="16">
        <v>44.8</v>
      </c>
      <c r="D61" s="16">
        <v>73.900000000000006</v>
      </c>
      <c r="E61" s="16">
        <v>63.7</v>
      </c>
      <c r="F61" s="21">
        <f t="shared" si="2"/>
        <v>53.968253968253968</v>
      </c>
      <c r="G61" s="2" t="s">
        <v>66</v>
      </c>
      <c r="H61" s="2">
        <v>17</v>
      </c>
      <c r="I61" s="16">
        <v>42</v>
      </c>
      <c r="J61" s="16">
        <v>52.3</v>
      </c>
      <c r="K61" s="16">
        <v>49.094999999999999</v>
      </c>
      <c r="L61" s="21">
        <f t="shared" si="3"/>
        <v>45.172656800563757</v>
      </c>
      <c r="M61" s="26" t="s">
        <v>67</v>
      </c>
      <c r="N61" s="26">
        <v>21</v>
      </c>
      <c r="O61" s="27">
        <v>41.7</v>
      </c>
      <c r="P61" s="27">
        <v>73</v>
      </c>
      <c r="Q61" s="27">
        <v>64.7</v>
      </c>
      <c r="R61" s="32">
        <v>36.090000000000003</v>
      </c>
    </row>
    <row r="62" spans="1:18" x14ac:dyDescent="0.25">
      <c r="A62" s="13"/>
      <c r="B62" s="13"/>
      <c r="C62" s="13"/>
      <c r="D62" s="13"/>
      <c r="E62" s="13"/>
      <c r="G62" s="13"/>
    </row>
    <row r="63" spans="1:18" x14ac:dyDescent="0.25">
      <c r="A63" s="13"/>
      <c r="B63" s="13"/>
      <c r="C63" s="13"/>
      <c r="D63" s="13"/>
      <c r="E63" s="13"/>
      <c r="G63" s="13"/>
    </row>
    <row r="64" spans="1:18" x14ac:dyDescent="0.25">
      <c r="A64" s="13"/>
      <c r="B64" s="13"/>
      <c r="C64" s="13"/>
      <c r="D64" s="13"/>
      <c r="E64" s="13"/>
      <c r="G64" s="13"/>
    </row>
    <row r="65" spans="1:7" x14ac:dyDescent="0.25">
      <c r="A65" s="13"/>
      <c r="B65" s="13"/>
      <c r="C65" s="13"/>
      <c r="D65" s="13"/>
      <c r="E65" s="13"/>
      <c r="G65" s="13"/>
    </row>
    <row r="66" spans="1:7" x14ac:dyDescent="0.25">
      <c r="A66" s="13"/>
      <c r="B66" s="13"/>
      <c r="C66" s="13"/>
      <c r="D66" s="13"/>
      <c r="E66" s="13"/>
      <c r="G66" s="13"/>
    </row>
    <row r="67" spans="1:7" x14ac:dyDescent="0.25">
      <c r="A67" s="13"/>
      <c r="B67" s="13"/>
      <c r="C67" s="13"/>
      <c r="D67" s="13"/>
      <c r="E67" s="13"/>
      <c r="G67" s="13"/>
    </row>
    <row r="68" spans="1:7" x14ac:dyDescent="0.25">
      <c r="A68" s="13"/>
      <c r="B68" s="13"/>
      <c r="C68" s="13"/>
      <c r="D68" s="13"/>
      <c r="E68" s="13"/>
      <c r="G68" s="13"/>
    </row>
    <row r="69" spans="1:7" x14ac:dyDescent="0.25">
      <c r="A69" s="13"/>
      <c r="B69" s="13"/>
      <c r="C69" s="13"/>
      <c r="D69" s="13"/>
      <c r="E69" s="13"/>
      <c r="G69" s="13"/>
    </row>
    <row r="70" spans="1:7" x14ac:dyDescent="0.25">
      <c r="A70" s="13"/>
      <c r="B70" s="13"/>
      <c r="C70" s="13"/>
      <c r="D70" s="13"/>
      <c r="E70" s="13"/>
      <c r="G70" s="13"/>
    </row>
    <row r="71" spans="1:7" x14ac:dyDescent="0.25">
      <c r="A71" s="13"/>
      <c r="B71" s="13"/>
      <c r="C71" s="13"/>
      <c r="D71" s="13"/>
      <c r="E71" s="13"/>
      <c r="G71" s="13"/>
    </row>
    <row r="72" spans="1:7" x14ac:dyDescent="0.25">
      <c r="A72" s="13"/>
      <c r="B72" s="13"/>
      <c r="C72" s="13"/>
      <c r="D72" s="13"/>
      <c r="E72" s="13"/>
      <c r="G72" s="13"/>
    </row>
    <row r="73" spans="1:7" x14ac:dyDescent="0.25">
      <c r="A73" s="13"/>
      <c r="B73" s="13"/>
      <c r="C73" s="13"/>
      <c r="D73" s="13"/>
      <c r="E73" s="13"/>
      <c r="G73" s="13"/>
    </row>
    <row r="74" spans="1:7" x14ac:dyDescent="0.25">
      <c r="A74" s="13"/>
      <c r="B74" s="13"/>
      <c r="C74" s="13"/>
      <c r="D74" s="13"/>
      <c r="E74" s="13"/>
      <c r="G74" s="13"/>
    </row>
    <row r="75" spans="1:7" x14ac:dyDescent="0.25">
      <c r="A75" s="13"/>
      <c r="B75" s="13"/>
      <c r="C75" s="13"/>
      <c r="D75" s="13"/>
      <c r="E75" s="13"/>
      <c r="G75" s="13"/>
    </row>
    <row r="76" spans="1:7" x14ac:dyDescent="0.25">
      <c r="A76" s="13"/>
      <c r="B76" s="13"/>
      <c r="C76" s="13"/>
      <c r="D76" s="13"/>
      <c r="E76" s="13"/>
      <c r="G76" s="13"/>
    </row>
    <row r="77" spans="1:7" x14ac:dyDescent="0.25">
      <c r="A77" s="13"/>
      <c r="B77" s="13"/>
      <c r="C77" s="13"/>
      <c r="D77" s="13"/>
      <c r="E77" s="13"/>
      <c r="G77" s="13"/>
    </row>
    <row r="78" spans="1:7" x14ac:dyDescent="0.25">
      <c r="A78" s="13"/>
      <c r="B78" s="13"/>
      <c r="C78" s="13"/>
      <c r="D78" s="13"/>
      <c r="E78" s="13"/>
      <c r="G78" s="13"/>
    </row>
    <row r="79" spans="1:7" x14ac:dyDescent="0.25">
      <c r="A79" s="13"/>
      <c r="B79" s="13"/>
      <c r="C79" s="13"/>
      <c r="D79" s="13"/>
      <c r="E79" s="13"/>
      <c r="G79" s="13"/>
    </row>
    <row r="80" spans="1:7" x14ac:dyDescent="0.25">
      <c r="A80" s="13"/>
      <c r="B80" s="13"/>
      <c r="C80" s="13"/>
      <c r="D80" s="13"/>
      <c r="E80" s="13"/>
      <c r="G80" s="13"/>
    </row>
    <row r="81" spans="1:18" x14ac:dyDescent="0.25">
      <c r="A81" s="13"/>
      <c r="B81" s="13"/>
      <c r="C81" s="13"/>
      <c r="D81" s="13"/>
      <c r="E81" s="13"/>
      <c r="G81" s="13"/>
    </row>
    <row r="82" spans="1:18" x14ac:dyDescent="0.25">
      <c r="A82" s="13"/>
      <c r="B82" s="75" t="s">
        <v>136</v>
      </c>
      <c r="C82" s="76"/>
      <c r="D82" s="86">
        <v>54</v>
      </c>
      <c r="E82" s="87"/>
      <c r="G82" s="13"/>
      <c r="H82" s="75" t="s">
        <v>136</v>
      </c>
      <c r="I82" s="76"/>
      <c r="J82" s="75">
        <v>42</v>
      </c>
      <c r="K82" s="76"/>
      <c r="N82" s="71" t="s">
        <v>136</v>
      </c>
      <c r="O82" s="72"/>
      <c r="P82" s="71">
        <v>35</v>
      </c>
      <c r="Q82" s="72"/>
    </row>
    <row r="83" spans="1:18" x14ac:dyDescent="0.25">
      <c r="A83" s="13"/>
      <c r="B83" s="77"/>
      <c r="C83" s="78"/>
      <c r="D83" s="88"/>
      <c r="E83" s="89"/>
      <c r="G83" s="13"/>
      <c r="H83" s="77"/>
      <c r="I83" s="78"/>
      <c r="J83" s="77"/>
      <c r="K83" s="78"/>
      <c r="N83" s="73"/>
      <c r="O83" s="74"/>
      <c r="P83" s="73"/>
      <c r="Q83" s="74"/>
    </row>
    <row r="84" spans="1:18" x14ac:dyDescent="0.25">
      <c r="A84" s="13"/>
      <c r="B84" s="13"/>
      <c r="C84" s="29"/>
      <c r="D84" s="29"/>
      <c r="E84" s="39"/>
      <c r="F84" s="29"/>
      <c r="G84" s="13"/>
    </row>
    <row r="85" spans="1:18" x14ac:dyDescent="0.25">
      <c r="A85" s="13"/>
      <c r="B85" s="13"/>
      <c r="C85" s="18">
        <v>10</v>
      </c>
      <c r="D85" s="40">
        <f>(0.6027-0.02*LN(25))*100</f>
        <v>53.832248350263598</v>
      </c>
      <c r="E85" s="33"/>
      <c r="F85" s="29"/>
      <c r="G85" s="13"/>
      <c r="J85" s="37">
        <v>10</v>
      </c>
      <c r="K85" s="37">
        <f>(0.6837-0.082*LN(25))*100</f>
        <v>41.97521823608075</v>
      </c>
      <c r="L85" s="29"/>
      <c r="N85" s="37">
        <v>10</v>
      </c>
      <c r="O85" s="37">
        <f>(0.5535-0.064*LN(25))*100</f>
        <v>34.749194720843512</v>
      </c>
    </row>
    <row r="86" spans="1:18" x14ac:dyDescent="0.25">
      <c r="A86" s="13"/>
      <c r="B86" s="13"/>
      <c r="C86" s="18">
        <v>25</v>
      </c>
      <c r="D86" s="40">
        <f>(0.6027-0.02*LN(25))*100</f>
        <v>53.832248350263598</v>
      </c>
      <c r="E86" s="33"/>
      <c r="F86" s="29"/>
      <c r="G86" s="13"/>
      <c r="J86" s="37">
        <v>25</v>
      </c>
      <c r="K86" s="37">
        <f>(0.6837-0.082*LN(25))*100</f>
        <v>41.97521823608075</v>
      </c>
      <c r="L86" s="29"/>
      <c r="N86" s="37">
        <v>25</v>
      </c>
      <c r="O86" s="37">
        <f>(0.5535-0.064*LN(25))*100</f>
        <v>34.749194720843512</v>
      </c>
    </row>
    <row r="87" spans="1:18" x14ac:dyDescent="0.25">
      <c r="A87" s="13"/>
      <c r="B87" s="13"/>
      <c r="C87" s="20">
        <v>25</v>
      </c>
      <c r="D87" s="40">
        <v>0</v>
      </c>
      <c r="E87" s="33"/>
      <c r="F87" s="29"/>
      <c r="G87" s="13"/>
      <c r="J87" s="37">
        <v>25</v>
      </c>
      <c r="K87" s="37">
        <v>0</v>
      </c>
      <c r="L87" s="29"/>
      <c r="N87" s="37">
        <v>25</v>
      </c>
      <c r="O87" s="37">
        <v>0</v>
      </c>
    </row>
    <row r="88" spans="1:18" x14ac:dyDescent="0.25">
      <c r="A88" s="13"/>
      <c r="B88" s="13"/>
      <c r="C88" s="29"/>
      <c r="D88" s="29"/>
      <c r="E88" s="29"/>
      <c r="F88" s="29"/>
      <c r="G88" s="13"/>
      <c r="J88" s="37"/>
      <c r="K88" s="37"/>
      <c r="L88" s="29"/>
    </row>
    <row r="89" spans="1:18" x14ac:dyDescent="0.25">
      <c r="A89" s="66" t="s">
        <v>77</v>
      </c>
      <c r="B89" s="66"/>
      <c r="C89" s="66"/>
      <c r="D89" s="66"/>
      <c r="E89" s="66"/>
      <c r="F89" s="66"/>
      <c r="G89" s="66" t="s">
        <v>94</v>
      </c>
      <c r="H89" s="66"/>
      <c r="I89" s="66"/>
      <c r="J89" s="66"/>
      <c r="K89" s="66"/>
      <c r="L89" s="66"/>
      <c r="M89" s="68" t="s">
        <v>98</v>
      </c>
      <c r="N89" s="68"/>
      <c r="O89" s="68"/>
      <c r="P89" s="68"/>
      <c r="Q89" s="68"/>
      <c r="R89" s="68"/>
    </row>
    <row r="90" spans="1:18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8"/>
      <c r="N90" s="68"/>
      <c r="O90" s="68"/>
      <c r="P90" s="68"/>
      <c r="Q90" s="68"/>
      <c r="R90" s="68"/>
    </row>
    <row r="91" spans="1:18" x14ac:dyDescent="0.25">
      <c r="A91" s="66" t="s">
        <v>0</v>
      </c>
      <c r="B91" s="66"/>
      <c r="C91" s="66"/>
      <c r="D91" s="66"/>
      <c r="E91" s="66"/>
      <c r="F91" s="66"/>
      <c r="G91" s="66" t="s">
        <v>0</v>
      </c>
      <c r="H91" s="66"/>
      <c r="I91" s="66"/>
      <c r="J91" s="66"/>
      <c r="K91" s="66"/>
      <c r="L91" s="66"/>
      <c r="M91" s="68" t="s">
        <v>0</v>
      </c>
      <c r="N91" s="68"/>
      <c r="O91" s="68"/>
      <c r="P91" s="68"/>
      <c r="Q91" s="68"/>
      <c r="R91" s="68"/>
    </row>
    <row r="92" spans="1:18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8"/>
      <c r="N92" s="68"/>
      <c r="O92" s="68"/>
      <c r="P92" s="68"/>
      <c r="Q92" s="68"/>
      <c r="R92" s="68"/>
    </row>
    <row r="94" spans="1:18" x14ac:dyDescent="0.25">
      <c r="A94" s="61" t="s">
        <v>132</v>
      </c>
      <c r="B94" s="61"/>
      <c r="C94" s="61"/>
      <c r="D94" s="61"/>
      <c r="E94" s="61"/>
      <c r="F94" s="61"/>
      <c r="G94" s="61" t="s">
        <v>132</v>
      </c>
      <c r="H94" s="61"/>
      <c r="I94" s="61"/>
      <c r="J94" s="61"/>
      <c r="K94" s="61"/>
      <c r="L94" s="61"/>
      <c r="M94" s="65" t="s">
        <v>132</v>
      </c>
      <c r="N94" s="65"/>
      <c r="O94" s="65"/>
      <c r="P94" s="65"/>
      <c r="Q94" s="65"/>
      <c r="R94" s="65"/>
    </row>
    <row r="96" spans="1:18" x14ac:dyDescent="0.25">
      <c r="C96" s="1" t="s">
        <v>1</v>
      </c>
      <c r="E96" s="61" t="s">
        <v>133</v>
      </c>
      <c r="F96" s="61"/>
      <c r="I96" s="1" t="s">
        <v>1</v>
      </c>
      <c r="K96" s="61" t="s">
        <v>133</v>
      </c>
      <c r="L96" s="61"/>
      <c r="O96" s="33" t="s">
        <v>1</v>
      </c>
      <c r="Q96" s="65" t="s">
        <v>133</v>
      </c>
      <c r="R96" s="65"/>
    </row>
    <row r="97" spans="1:34" x14ac:dyDescent="0.25">
      <c r="A97" s="61" t="s">
        <v>25</v>
      </c>
      <c r="B97" s="61"/>
      <c r="C97" s="61" t="s">
        <v>52</v>
      </c>
      <c r="D97" s="61"/>
      <c r="E97" s="61"/>
      <c r="F97" s="61"/>
      <c r="G97" s="61" t="s">
        <v>25</v>
      </c>
      <c r="H97" s="61"/>
      <c r="I97" s="61" t="s">
        <v>54</v>
      </c>
      <c r="J97" s="61"/>
      <c r="K97" s="61"/>
      <c r="L97" s="61"/>
      <c r="M97" s="65" t="s">
        <v>25</v>
      </c>
      <c r="N97" s="65"/>
      <c r="O97" s="65" t="s">
        <v>56</v>
      </c>
      <c r="P97" s="65"/>
      <c r="Q97" s="65"/>
      <c r="R97" s="65"/>
    </row>
    <row r="98" spans="1:34" x14ac:dyDescent="0.25">
      <c r="A98" s="61" t="s">
        <v>44</v>
      </c>
      <c r="B98" s="61"/>
      <c r="C98" s="61" t="s">
        <v>53</v>
      </c>
      <c r="D98" s="61"/>
      <c r="E98" s="61"/>
      <c r="F98" s="61"/>
      <c r="G98" s="61" t="s">
        <v>44</v>
      </c>
      <c r="H98" s="61"/>
      <c r="I98" s="61" t="s">
        <v>36</v>
      </c>
      <c r="J98" s="61"/>
      <c r="K98" s="61"/>
      <c r="L98" s="61"/>
      <c r="M98" s="65" t="s">
        <v>44</v>
      </c>
      <c r="N98" s="65"/>
      <c r="O98" s="65" t="s">
        <v>55</v>
      </c>
      <c r="P98" s="65"/>
      <c r="Q98" s="65"/>
      <c r="R98" s="65"/>
    </row>
    <row r="99" spans="1:34" x14ac:dyDescent="0.25">
      <c r="A99" s="13"/>
      <c r="B99" s="13"/>
      <c r="C99" s="13"/>
      <c r="D99" s="13"/>
      <c r="E99" s="13"/>
    </row>
    <row r="100" spans="1:34" x14ac:dyDescent="0.25">
      <c r="A100" s="13"/>
      <c r="B100" s="13"/>
      <c r="C100" s="13"/>
      <c r="D100" s="13"/>
      <c r="E100" s="13"/>
    </row>
    <row r="101" spans="1:34" x14ac:dyDescent="0.25">
      <c r="A101" s="13"/>
      <c r="B101" s="13"/>
      <c r="C101" s="13"/>
      <c r="D101" s="13"/>
      <c r="E101" s="13"/>
    </row>
    <row r="102" spans="1:34" ht="45" x14ac:dyDescent="0.25">
      <c r="A102" s="5" t="s">
        <v>27</v>
      </c>
      <c r="B102" s="5" t="s">
        <v>28</v>
      </c>
      <c r="C102" s="5" t="s">
        <v>74</v>
      </c>
      <c r="D102" s="5" t="s">
        <v>75</v>
      </c>
      <c r="E102" s="5" t="s">
        <v>76</v>
      </c>
      <c r="F102" s="22" t="s">
        <v>32</v>
      </c>
      <c r="G102" s="5" t="s">
        <v>27</v>
      </c>
      <c r="H102" s="5" t="s">
        <v>28</v>
      </c>
      <c r="I102" s="5" t="s">
        <v>74</v>
      </c>
      <c r="J102" s="5" t="s">
        <v>75</v>
      </c>
      <c r="K102" s="5" t="s">
        <v>76</v>
      </c>
      <c r="L102" s="22" t="s">
        <v>32</v>
      </c>
      <c r="M102" s="25" t="s">
        <v>27</v>
      </c>
      <c r="N102" s="25" t="s">
        <v>28</v>
      </c>
      <c r="O102" s="25" t="s">
        <v>74</v>
      </c>
      <c r="P102" s="25" t="s">
        <v>75</v>
      </c>
      <c r="Q102" s="25" t="s">
        <v>76</v>
      </c>
      <c r="R102" s="31" t="s">
        <v>32</v>
      </c>
    </row>
    <row r="103" spans="1:34" s="1" customFormat="1" ht="30" customHeight="1" x14ac:dyDescent="0.25">
      <c r="A103" s="2" t="s">
        <v>69</v>
      </c>
      <c r="B103" s="2">
        <v>30</v>
      </c>
      <c r="C103" s="16">
        <v>44.7</v>
      </c>
      <c r="D103" s="16">
        <v>76.3</v>
      </c>
      <c r="E103" s="16">
        <v>65.8</v>
      </c>
      <c r="F103" s="21">
        <f t="shared" ref="F103:F105" si="4">(D103-E103)/(E103-C103)*100</f>
        <v>49.763033175355467</v>
      </c>
      <c r="G103" s="2" t="s">
        <v>61</v>
      </c>
      <c r="H103" s="2">
        <v>32</v>
      </c>
      <c r="I103" s="16">
        <v>40.700000000000003</v>
      </c>
      <c r="J103" s="16">
        <v>48</v>
      </c>
      <c r="K103" s="16">
        <v>45.9</v>
      </c>
      <c r="L103" s="21">
        <f>(J103-K103)/(K103-I103)*100</f>
        <v>40.384615384615444</v>
      </c>
      <c r="M103" s="26" t="s">
        <v>87</v>
      </c>
      <c r="N103" s="26">
        <v>30</v>
      </c>
      <c r="O103" s="27">
        <v>45.7</v>
      </c>
      <c r="P103" s="27">
        <v>79</v>
      </c>
      <c r="Q103" s="27">
        <v>70.3</v>
      </c>
      <c r="R103" s="32">
        <f>(P103-Q103)/(Q103-O103)*100</f>
        <v>35.365853658536608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1" customFormat="1" ht="30" customHeight="1" x14ac:dyDescent="0.25">
      <c r="A104" s="2" t="s">
        <v>70</v>
      </c>
      <c r="B104" s="2">
        <v>26</v>
      </c>
      <c r="C104" s="16">
        <v>41.4</v>
      </c>
      <c r="D104" s="16">
        <v>74.099999999999994</v>
      </c>
      <c r="E104" s="16">
        <v>63</v>
      </c>
      <c r="F104" s="21">
        <f t="shared" si="4"/>
        <v>51.388888888888864</v>
      </c>
      <c r="G104" s="2" t="s">
        <v>60</v>
      </c>
      <c r="H104" s="2">
        <v>24</v>
      </c>
      <c r="I104" s="16">
        <v>40.799999999999997</v>
      </c>
      <c r="J104" s="16">
        <v>50.5</v>
      </c>
      <c r="K104" s="16">
        <v>47.7</v>
      </c>
      <c r="L104" s="21">
        <f t="shared" ref="L104:L105" si="5">(J104-K104)/(K104-I104)*100</f>
        <v>40.579710144927461</v>
      </c>
      <c r="M104" s="26" t="s">
        <v>88</v>
      </c>
      <c r="N104" s="26">
        <v>26</v>
      </c>
      <c r="O104" s="27">
        <v>48.9</v>
      </c>
      <c r="P104" s="27">
        <v>81</v>
      </c>
      <c r="Q104" s="27">
        <v>72.450999999999993</v>
      </c>
      <c r="R104" s="32">
        <f t="shared" ref="R104:R105" si="6">(P104-Q104)/(Q104-O104)*100</f>
        <v>36.299944800645449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" customFormat="1" ht="30" customHeight="1" x14ac:dyDescent="0.25">
      <c r="A105" s="2" t="s">
        <v>37</v>
      </c>
      <c r="B105" s="2">
        <v>21</v>
      </c>
      <c r="C105" s="16">
        <v>46</v>
      </c>
      <c r="D105" s="16">
        <v>77.099999999999994</v>
      </c>
      <c r="E105" s="16">
        <v>66.5</v>
      </c>
      <c r="F105" s="21">
        <f t="shared" si="4"/>
        <v>51.707317073170699</v>
      </c>
      <c r="G105" s="2" t="s">
        <v>35</v>
      </c>
      <c r="H105" s="2">
        <v>21</v>
      </c>
      <c r="I105" s="16">
        <v>47.7</v>
      </c>
      <c r="J105" s="16">
        <v>57.3</v>
      </c>
      <c r="K105" s="16">
        <v>54.4</v>
      </c>
      <c r="L105" s="21">
        <f t="shared" si="5"/>
        <v>43.283582089552247</v>
      </c>
      <c r="M105" s="26" t="s">
        <v>86</v>
      </c>
      <c r="N105" s="26">
        <v>15</v>
      </c>
      <c r="O105" s="27">
        <v>46.5</v>
      </c>
      <c r="P105" s="27">
        <v>80.599999999999994</v>
      </c>
      <c r="Q105" s="27">
        <v>71</v>
      </c>
      <c r="R105" s="32">
        <f t="shared" si="6"/>
        <v>39.183673469387728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x14ac:dyDescent="0.25">
      <c r="A106" s="6"/>
      <c r="B106" s="6"/>
      <c r="C106" s="6"/>
      <c r="D106" s="6"/>
      <c r="E106" s="6"/>
      <c r="F106" s="23"/>
      <c r="G106" s="13"/>
    </row>
    <row r="107" spans="1:34" x14ac:dyDescent="0.25">
      <c r="A107" s="6"/>
      <c r="B107" s="6"/>
      <c r="C107" s="6"/>
      <c r="D107" s="6"/>
      <c r="E107" s="6"/>
      <c r="F107" s="23"/>
      <c r="G107" s="13"/>
      <c r="H107" s="13"/>
      <c r="I107" s="13"/>
      <c r="J107" s="13"/>
      <c r="K107" s="13"/>
    </row>
    <row r="108" spans="1:34" x14ac:dyDescent="0.25">
      <c r="A108" s="6"/>
      <c r="B108" s="6"/>
      <c r="C108" s="6"/>
      <c r="D108" s="6"/>
      <c r="E108" s="6"/>
      <c r="F108" s="23"/>
      <c r="G108" s="13"/>
    </row>
    <row r="109" spans="1:34" x14ac:dyDescent="0.25">
      <c r="A109" s="6"/>
      <c r="B109" s="6"/>
      <c r="C109" s="6"/>
      <c r="D109" s="6"/>
      <c r="E109" s="6"/>
      <c r="F109" s="23"/>
      <c r="G109" s="13"/>
    </row>
    <row r="110" spans="1:34" x14ac:dyDescent="0.25">
      <c r="A110" s="6"/>
      <c r="B110" s="6"/>
      <c r="C110" s="6"/>
      <c r="D110" s="6"/>
      <c r="E110" s="6"/>
      <c r="F110" s="23"/>
      <c r="G110" s="13"/>
    </row>
    <row r="111" spans="1:34" x14ac:dyDescent="0.25">
      <c r="A111" s="6"/>
      <c r="B111" s="6"/>
      <c r="C111" s="6"/>
      <c r="D111" s="6"/>
      <c r="E111" s="6"/>
      <c r="F111" s="23"/>
      <c r="G111" s="13"/>
    </row>
    <row r="112" spans="1:34" x14ac:dyDescent="0.25">
      <c r="A112" s="6"/>
      <c r="B112" s="6"/>
      <c r="C112" s="6"/>
      <c r="D112" s="6"/>
      <c r="E112" s="6"/>
      <c r="F112" s="23"/>
      <c r="G112" s="13"/>
    </row>
    <row r="113" spans="1:17" x14ac:dyDescent="0.25">
      <c r="A113" s="6"/>
      <c r="B113" s="6"/>
      <c r="C113" s="6"/>
      <c r="D113" s="6"/>
      <c r="E113" s="6"/>
      <c r="F113" s="23"/>
      <c r="G113" s="13"/>
    </row>
    <row r="114" spans="1:17" x14ac:dyDescent="0.25">
      <c r="A114" s="6"/>
      <c r="B114" s="6"/>
      <c r="C114" s="6"/>
      <c r="D114" s="6"/>
      <c r="E114" s="6"/>
      <c r="F114" s="23"/>
      <c r="G114" s="13"/>
    </row>
    <row r="115" spans="1:17" x14ac:dyDescent="0.25">
      <c r="A115" s="6"/>
      <c r="B115" s="6"/>
      <c r="C115" s="6"/>
      <c r="D115" s="6"/>
      <c r="E115" s="6"/>
      <c r="F115" s="23"/>
      <c r="G115" s="13"/>
    </row>
    <row r="116" spans="1:17" x14ac:dyDescent="0.25">
      <c r="A116" s="6"/>
      <c r="B116" s="6"/>
      <c r="C116" s="6"/>
      <c r="D116" s="6"/>
      <c r="E116" s="6"/>
      <c r="F116" s="23"/>
      <c r="G116" s="13"/>
    </row>
    <row r="117" spans="1:17" x14ac:dyDescent="0.25">
      <c r="A117" s="6"/>
      <c r="B117" s="6"/>
      <c r="C117" s="6"/>
      <c r="D117" s="6"/>
      <c r="E117" s="6"/>
      <c r="F117" s="23"/>
      <c r="G117" s="13"/>
    </row>
    <row r="118" spans="1:17" x14ac:dyDescent="0.25">
      <c r="A118" s="6"/>
      <c r="B118" s="6"/>
      <c r="C118" s="6"/>
      <c r="D118" s="6"/>
      <c r="E118" s="6"/>
      <c r="F118" s="23"/>
      <c r="G118" s="13"/>
    </row>
    <row r="119" spans="1:17" x14ac:dyDescent="0.25">
      <c r="A119" s="6"/>
      <c r="B119" s="6"/>
      <c r="C119" s="6"/>
      <c r="D119" s="6"/>
      <c r="E119" s="6"/>
      <c r="F119" s="23"/>
      <c r="G119" s="13"/>
    </row>
    <row r="120" spans="1:17" x14ac:dyDescent="0.25">
      <c r="A120" s="6"/>
      <c r="B120" s="6"/>
      <c r="C120" s="6"/>
      <c r="D120" s="6"/>
      <c r="E120" s="6"/>
      <c r="F120" s="23"/>
      <c r="G120" s="13"/>
      <c r="H120" s="13"/>
      <c r="I120" s="13"/>
      <c r="J120" s="13"/>
      <c r="K120" s="13"/>
    </row>
    <row r="121" spans="1:17" x14ac:dyDescent="0.25">
      <c r="A121" s="6"/>
      <c r="B121" s="6"/>
      <c r="C121" s="6"/>
      <c r="D121" s="6"/>
      <c r="E121" s="6"/>
      <c r="F121" s="23"/>
      <c r="G121" s="13"/>
    </row>
    <row r="122" spans="1:17" x14ac:dyDescent="0.25">
      <c r="A122" s="6"/>
      <c r="B122" s="6"/>
      <c r="C122" s="6"/>
      <c r="D122" s="6"/>
      <c r="E122" s="6"/>
      <c r="F122" s="23"/>
      <c r="G122" s="13"/>
    </row>
    <row r="123" spans="1:17" x14ac:dyDescent="0.25">
      <c r="A123" s="6"/>
      <c r="B123" s="6"/>
      <c r="C123" s="6"/>
      <c r="D123" s="6"/>
      <c r="E123" s="6"/>
      <c r="F123" s="23"/>
      <c r="G123" s="13"/>
    </row>
    <row r="124" spans="1:17" x14ac:dyDescent="0.25">
      <c r="A124" s="6"/>
      <c r="B124" s="6"/>
      <c r="C124" s="6"/>
      <c r="D124" s="6"/>
      <c r="E124" s="6"/>
      <c r="F124" s="23"/>
      <c r="G124" s="13"/>
    </row>
    <row r="125" spans="1:17" x14ac:dyDescent="0.25">
      <c r="A125" s="6"/>
      <c r="B125" s="6"/>
      <c r="C125" s="6"/>
      <c r="D125" s="6"/>
      <c r="E125" s="6"/>
      <c r="F125" s="23"/>
      <c r="G125" s="13"/>
    </row>
    <row r="126" spans="1:17" x14ac:dyDescent="0.25">
      <c r="A126" s="6"/>
      <c r="B126" s="75" t="s">
        <v>136</v>
      </c>
      <c r="C126" s="76"/>
      <c r="D126" s="75">
        <v>51</v>
      </c>
      <c r="E126" s="76"/>
      <c r="F126" s="23"/>
      <c r="G126" s="13"/>
      <c r="H126" s="75" t="s">
        <v>136</v>
      </c>
      <c r="I126" s="76"/>
      <c r="J126" s="75">
        <v>41</v>
      </c>
      <c r="K126" s="76"/>
      <c r="N126" s="71" t="s">
        <v>136</v>
      </c>
      <c r="O126" s="72"/>
      <c r="P126" s="71">
        <v>37</v>
      </c>
      <c r="Q126" s="72"/>
    </row>
    <row r="127" spans="1:17" x14ac:dyDescent="0.25">
      <c r="A127" s="6"/>
      <c r="B127" s="77"/>
      <c r="C127" s="78"/>
      <c r="D127" s="77"/>
      <c r="E127" s="78"/>
      <c r="F127" s="23"/>
      <c r="G127" s="13"/>
      <c r="H127" s="77"/>
      <c r="I127" s="78"/>
      <c r="J127" s="77"/>
      <c r="K127" s="78"/>
      <c r="N127" s="73"/>
      <c r="O127" s="74"/>
      <c r="P127" s="73"/>
      <c r="Q127" s="74"/>
    </row>
    <row r="128" spans="1:17" x14ac:dyDescent="0.25">
      <c r="A128" s="6"/>
      <c r="B128" s="6"/>
      <c r="C128" s="24"/>
      <c r="D128" s="24"/>
      <c r="E128" s="34"/>
      <c r="F128" s="23"/>
      <c r="G128" s="13"/>
      <c r="J128" s="33"/>
      <c r="K128" s="33"/>
      <c r="L128" s="29"/>
    </row>
    <row r="129" spans="1:18" x14ac:dyDescent="0.25">
      <c r="A129" s="6"/>
      <c r="B129" s="6"/>
      <c r="C129" s="33"/>
      <c r="D129" s="17">
        <v>10</v>
      </c>
      <c r="E129" s="17">
        <f>(0.6759-0.051*LN(25))*100</f>
        <v>51.173733293172177</v>
      </c>
      <c r="F129" s="23"/>
      <c r="G129" s="13"/>
      <c r="J129" s="37">
        <v>10</v>
      </c>
      <c r="K129" s="37">
        <f>(0.6045-0.059*LN(25))*100</f>
        <v>41.458632633277617</v>
      </c>
      <c r="L129" s="29"/>
      <c r="N129" s="37">
        <v>10</v>
      </c>
      <c r="O129" s="37">
        <f>(0.5392-0.054*LN(25))*100</f>
        <v>36.538070545711719</v>
      </c>
    </row>
    <row r="130" spans="1:18" x14ac:dyDescent="0.25">
      <c r="A130" s="6"/>
      <c r="B130" s="6"/>
      <c r="C130" s="33"/>
      <c r="D130" s="17">
        <v>25</v>
      </c>
      <c r="E130" s="17">
        <f>(0.6759-0.051*LN(25))*100</f>
        <v>51.173733293172177</v>
      </c>
      <c r="F130" s="23"/>
      <c r="G130" s="13"/>
      <c r="J130" s="37">
        <v>25</v>
      </c>
      <c r="K130" s="37">
        <f>(0.6045-0.059*LN(25))*100</f>
        <v>41.458632633277617</v>
      </c>
      <c r="L130" s="29"/>
      <c r="N130" s="37">
        <v>25</v>
      </c>
      <c r="O130" s="37">
        <f>(0.5392-0.054*LN(25))*100</f>
        <v>36.538070545711719</v>
      </c>
    </row>
    <row r="131" spans="1:18" x14ac:dyDescent="0.25">
      <c r="A131" s="6"/>
      <c r="B131" s="6"/>
      <c r="C131" s="33"/>
      <c r="D131" s="17">
        <v>25</v>
      </c>
      <c r="E131" s="17">
        <v>0</v>
      </c>
      <c r="F131" s="23"/>
      <c r="G131" s="13"/>
      <c r="J131" s="37">
        <v>25</v>
      </c>
      <c r="K131" s="37">
        <v>0</v>
      </c>
      <c r="L131" s="29"/>
      <c r="N131" s="37">
        <v>25</v>
      </c>
      <c r="O131" s="37">
        <v>0</v>
      </c>
    </row>
    <row r="132" spans="1:18" x14ac:dyDescent="0.25">
      <c r="A132" s="6"/>
      <c r="B132" s="6"/>
      <c r="C132" s="6"/>
      <c r="D132" s="6"/>
      <c r="E132" s="20"/>
      <c r="F132" s="23"/>
      <c r="G132" s="13"/>
      <c r="N132" s="37"/>
      <c r="O132" s="37"/>
    </row>
    <row r="133" spans="1:18" x14ac:dyDescent="0.25">
      <c r="A133" s="66" t="s">
        <v>78</v>
      </c>
      <c r="B133" s="66"/>
      <c r="C133" s="66"/>
      <c r="D133" s="66"/>
      <c r="E133" s="66"/>
      <c r="F133" s="66"/>
      <c r="G133" s="66" t="s">
        <v>95</v>
      </c>
      <c r="H133" s="66"/>
      <c r="I133" s="66"/>
      <c r="J133" s="66"/>
      <c r="K133" s="66"/>
      <c r="L133" s="66"/>
      <c r="M133" s="68" t="s">
        <v>99</v>
      </c>
      <c r="N133" s="68"/>
      <c r="O133" s="68"/>
      <c r="P133" s="68"/>
      <c r="Q133" s="68"/>
      <c r="R133" s="68"/>
    </row>
    <row r="134" spans="1:18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8"/>
      <c r="N134" s="68"/>
      <c r="O134" s="68"/>
      <c r="P134" s="68"/>
      <c r="Q134" s="68"/>
      <c r="R134" s="68"/>
    </row>
    <row r="135" spans="1:18" x14ac:dyDescent="0.25">
      <c r="A135" s="66" t="s">
        <v>0</v>
      </c>
      <c r="B135" s="66"/>
      <c r="C135" s="66"/>
      <c r="D135" s="66"/>
      <c r="E135" s="66"/>
      <c r="F135" s="66"/>
      <c r="G135" s="66" t="s">
        <v>0</v>
      </c>
      <c r="H135" s="66"/>
      <c r="I135" s="66"/>
      <c r="J135" s="66"/>
      <c r="K135" s="66"/>
      <c r="L135" s="66"/>
      <c r="M135" s="68" t="s">
        <v>0</v>
      </c>
      <c r="N135" s="68"/>
      <c r="O135" s="68"/>
      <c r="P135" s="68"/>
      <c r="Q135" s="68"/>
      <c r="R135" s="68"/>
    </row>
    <row r="136" spans="1:18" x14ac:dyDescent="0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8"/>
      <c r="N136" s="68"/>
      <c r="O136" s="68"/>
      <c r="P136" s="68"/>
      <c r="Q136" s="68"/>
      <c r="R136" s="68"/>
    </row>
    <row r="138" spans="1:18" x14ac:dyDescent="0.25">
      <c r="A138" s="61" t="s">
        <v>132</v>
      </c>
      <c r="B138" s="61"/>
      <c r="C138" s="61"/>
      <c r="D138" s="61"/>
      <c r="E138" s="61"/>
      <c r="F138" s="61"/>
      <c r="G138" s="61" t="s">
        <v>132</v>
      </c>
      <c r="H138" s="61"/>
      <c r="I138" s="61"/>
      <c r="J138" s="61"/>
      <c r="K138" s="61"/>
      <c r="L138" s="61"/>
      <c r="M138" s="65" t="s">
        <v>132</v>
      </c>
      <c r="N138" s="65"/>
      <c r="O138" s="65"/>
      <c r="P138" s="65"/>
      <c r="Q138" s="65"/>
      <c r="R138" s="65"/>
    </row>
    <row r="140" spans="1:18" x14ac:dyDescent="0.25">
      <c r="C140" s="1" t="s">
        <v>1</v>
      </c>
      <c r="E140" s="61" t="s">
        <v>133</v>
      </c>
      <c r="F140" s="61"/>
      <c r="I140" s="1" t="s">
        <v>1</v>
      </c>
      <c r="K140" s="61" t="s">
        <v>133</v>
      </c>
      <c r="L140" s="61"/>
      <c r="O140" s="33" t="s">
        <v>1</v>
      </c>
      <c r="Q140" s="65" t="s">
        <v>133</v>
      </c>
      <c r="R140" s="65"/>
    </row>
    <row r="141" spans="1:18" x14ac:dyDescent="0.25">
      <c r="A141" s="61" t="s">
        <v>25</v>
      </c>
      <c r="B141" s="61"/>
      <c r="C141" s="61" t="s">
        <v>52</v>
      </c>
      <c r="D141" s="61"/>
      <c r="E141" s="61"/>
      <c r="F141" s="61"/>
      <c r="G141" s="61" t="s">
        <v>25</v>
      </c>
      <c r="H141" s="61"/>
      <c r="I141" s="61" t="s">
        <v>54</v>
      </c>
      <c r="J141" s="61"/>
      <c r="K141" s="61"/>
      <c r="L141" s="61"/>
      <c r="M141" s="65" t="s">
        <v>25</v>
      </c>
      <c r="N141" s="65"/>
      <c r="O141" s="65" t="s">
        <v>56</v>
      </c>
      <c r="P141" s="65"/>
      <c r="Q141" s="65"/>
      <c r="R141" s="65"/>
    </row>
    <row r="142" spans="1:18" x14ac:dyDescent="0.25">
      <c r="A142" s="61" t="s">
        <v>44</v>
      </c>
      <c r="B142" s="61"/>
      <c r="C142" s="61" t="s">
        <v>53</v>
      </c>
      <c r="D142" s="61"/>
      <c r="E142" s="61"/>
      <c r="F142" s="61"/>
      <c r="G142" s="61" t="s">
        <v>44</v>
      </c>
      <c r="H142" s="61"/>
      <c r="I142" s="61" t="s">
        <v>36</v>
      </c>
      <c r="J142" s="61"/>
      <c r="K142" s="61"/>
      <c r="L142" s="61"/>
      <c r="M142" s="65" t="s">
        <v>44</v>
      </c>
      <c r="N142" s="65"/>
      <c r="O142" s="65" t="s">
        <v>55</v>
      </c>
      <c r="P142" s="65"/>
      <c r="Q142" s="65"/>
      <c r="R142" s="65"/>
    </row>
    <row r="143" spans="1:18" x14ac:dyDescent="0.25">
      <c r="A143" s="13"/>
      <c r="B143" s="13"/>
      <c r="C143" s="13"/>
      <c r="D143" s="13"/>
      <c r="E143" s="13"/>
    </row>
    <row r="144" spans="1:18" x14ac:dyDescent="0.25">
      <c r="A144" s="13"/>
      <c r="B144" s="13"/>
      <c r="C144" s="13"/>
      <c r="D144" s="13"/>
      <c r="E144" s="13"/>
    </row>
    <row r="145" spans="1:34" x14ac:dyDescent="0.25">
      <c r="A145" s="13"/>
      <c r="B145" s="13"/>
      <c r="C145" s="13"/>
      <c r="D145" s="13"/>
      <c r="E145" s="13"/>
    </row>
    <row r="146" spans="1:34" ht="45" x14ac:dyDescent="0.25">
      <c r="A146" s="5" t="s">
        <v>27</v>
      </c>
      <c r="B146" s="5" t="s">
        <v>28</v>
      </c>
      <c r="C146" s="5" t="s">
        <v>74</v>
      </c>
      <c r="D146" s="5" t="s">
        <v>75</v>
      </c>
      <c r="E146" s="5" t="s">
        <v>76</v>
      </c>
      <c r="F146" s="22" t="s">
        <v>32</v>
      </c>
      <c r="G146" s="5" t="s">
        <v>27</v>
      </c>
      <c r="H146" s="5" t="s">
        <v>28</v>
      </c>
      <c r="I146" s="5" t="s">
        <v>74</v>
      </c>
      <c r="J146" s="5" t="s">
        <v>75</v>
      </c>
      <c r="K146" s="5" t="s">
        <v>76</v>
      </c>
      <c r="L146" s="22" t="s">
        <v>32</v>
      </c>
      <c r="M146" s="25" t="s">
        <v>27</v>
      </c>
      <c r="N146" s="25" t="s">
        <v>28</v>
      </c>
      <c r="O146" s="25" t="s">
        <v>74</v>
      </c>
      <c r="P146" s="25" t="s">
        <v>75</v>
      </c>
      <c r="Q146" s="25" t="s">
        <v>76</v>
      </c>
      <c r="R146" s="31" t="s">
        <v>32</v>
      </c>
    </row>
    <row r="147" spans="1:34" s="1" customFormat="1" ht="30" customHeight="1" x14ac:dyDescent="0.25">
      <c r="A147" s="2" t="s">
        <v>38</v>
      </c>
      <c r="B147" s="2">
        <v>30</v>
      </c>
      <c r="C147" s="16">
        <v>48</v>
      </c>
      <c r="D147" s="16">
        <v>79.8</v>
      </c>
      <c r="E147" s="16">
        <v>69.3</v>
      </c>
      <c r="F147" s="21">
        <f t="shared" ref="F147:F149" si="7">(D147-E147)/(E147-C147)*100</f>
        <v>49.295774647887328</v>
      </c>
      <c r="G147" s="2" t="s">
        <v>83</v>
      </c>
      <c r="H147" s="2">
        <v>32</v>
      </c>
      <c r="I147" s="16">
        <v>42.7</v>
      </c>
      <c r="J147" s="16">
        <v>52.4</v>
      </c>
      <c r="K147" s="16">
        <v>49.7</v>
      </c>
      <c r="L147" s="21">
        <f>(J147-K147)/(K147-I147)*100</f>
        <v>38.571428571428513</v>
      </c>
      <c r="M147" s="26" t="s">
        <v>34</v>
      </c>
      <c r="N147" s="26">
        <v>35</v>
      </c>
      <c r="O147" s="27">
        <v>44.8</v>
      </c>
      <c r="P147" s="27">
        <v>80.3</v>
      </c>
      <c r="Q147" s="27">
        <v>71.2</v>
      </c>
      <c r="R147" s="32">
        <f>(P147-Q147)/(Q147-O147)*100</f>
        <v>34.46969696969694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" customFormat="1" ht="30" customHeight="1" x14ac:dyDescent="0.25">
      <c r="A148" s="2" t="s">
        <v>35</v>
      </c>
      <c r="B148" s="2">
        <v>27</v>
      </c>
      <c r="C148" s="16">
        <v>47.7</v>
      </c>
      <c r="D148" s="16">
        <v>77.099999999999994</v>
      </c>
      <c r="E148" s="16">
        <v>67.2</v>
      </c>
      <c r="F148" s="21">
        <f t="shared" si="7"/>
        <v>50.769230769230724</v>
      </c>
      <c r="G148" s="2" t="s">
        <v>87</v>
      </c>
      <c r="H148" s="2">
        <v>25</v>
      </c>
      <c r="I148" s="16">
        <v>45.7</v>
      </c>
      <c r="J148" s="16">
        <v>58</v>
      </c>
      <c r="K148" s="16">
        <v>54.4</v>
      </c>
      <c r="L148" s="21">
        <f t="shared" ref="L148:L149" si="8">(J148-K148)/(K148-I148)*100</f>
        <v>41.379310344827623</v>
      </c>
      <c r="M148" s="26" t="s">
        <v>86</v>
      </c>
      <c r="N148" s="26">
        <v>27</v>
      </c>
      <c r="O148" s="27">
        <v>46.5</v>
      </c>
      <c r="P148" s="27">
        <v>74.8</v>
      </c>
      <c r="Q148" s="27">
        <v>67.2</v>
      </c>
      <c r="R148" s="32">
        <f t="shared" ref="R148:R149" si="9">(P148-Q148)/(Q148-O148)*100</f>
        <v>36.714975845410599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" customFormat="1" ht="30" customHeight="1" x14ac:dyDescent="0.25">
      <c r="A149" s="2" t="s">
        <v>64</v>
      </c>
      <c r="B149" s="2">
        <v>23</v>
      </c>
      <c r="C149" s="16">
        <v>50.3</v>
      </c>
      <c r="D149" s="16">
        <v>82.9</v>
      </c>
      <c r="E149" s="16">
        <v>71.8</v>
      </c>
      <c r="F149" s="21">
        <f t="shared" si="7"/>
        <v>51.627906976744228</v>
      </c>
      <c r="G149" s="2" t="s">
        <v>91</v>
      </c>
      <c r="H149" s="2">
        <v>20</v>
      </c>
      <c r="I149" s="16">
        <v>39.700000000000003</v>
      </c>
      <c r="J149" s="16">
        <v>49.5</v>
      </c>
      <c r="K149" s="16">
        <v>46.6</v>
      </c>
      <c r="L149" s="21">
        <f t="shared" si="8"/>
        <v>42.028985507246361</v>
      </c>
      <c r="M149" s="26" t="s">
        <v>87</v>
      </c>
      <c r="N149" s="26">
        <v>19</v>
      </c>
      <c r="O149" s="27">
        <v>45.7</v>
      </c>
      <c r="P149" s="27">
        <v>73.900000000000006</v>
      </c>
      <c r="Q149" s="27">
        <v>66.19</v>
      </c>
      <c r="R149" s="32">
        <f t="shared" si="9"/>
        <v>37.628111273792143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x14ac:dyDescent="0.25">
      <c r="A150" s="6"/>
      <c r="B150" s="6"/>
      <c r="C150" s="6"/>
      <c r="D150" s="6"/>
      <c r="E150" s="6"/>
      <c r="F150" s="23"/>
      <c r="G150" s="13"/>
    </row>
    <row r="151" spans="1:34" x14ac:dyDescent="0.25">
      <c r="A151" s="6"/>
      <c r="B151" s="6"/>
      <c r="C151" s="6"/>
      <c r="D151" s="6"/>
      <c r="E151" s="6"/>
      <c r="F151" s="23"/>
      <c r="G151" s="13"/>
    </row>
    <row r="152" spans="1:34" x14ac:dyDescent="0.25">
      <c r="A152" s="6"/>
      <c r="B152" s="6"/>
      <c r="C152" s="6"/>
      <c r="D152" s="6"/>
      <c r="E152" s="6"/>
      <c r="F152" s="23"/>
      <c r="G152" s="13"/>
    </row>
    <row r="153" spans="1:34" x14ac:dyDescent="0.25">
      <c r="A153" s="6"/>
      <c r="B153" s="6"/>
      <c r="C153" s="6"/>
      <c r="D153" s="6"/>
      <c r="E153" s="6"/>
      <c r="F153" s="23"/>
      <c r="G153" s="13"/>
    </row>
    <row r="154" spans="1:34" x14ac:dyDescent="0.25">
      <c r="A154" s="6"/>
      <c r="B154" s="6"/>
      <c r="C154" s="6"/>
      <c r="D154" s="6"/>
      <c r="E154" s="6"/>
      <c r="F154" s="23"/>
      <c r="G154" s="13"/>
    </row>
    <row r="155" spans="1:34" x14ac:dyDescent="0.25">
      <c r="A155" s="6"/>
      <c r="B155" s="6"/>
      <c r="C155" s="6"/>
      <c r="D155" s="6"/>
      <c r="E155" s="6"/>
      <c r="F155" s="23"/>
      <c r="G155" s="13"/>
    </row>
    <row r="156" spans="1:34" x14ac:dyDescent="0.25">
      <c r="A156" s="6"/>
      <c r="B156" s="6"/>
      <c r="C156" s="6"/>
      <c r="D156" s="6"/>
      <c r="E156" s="6"/>
      <c r="F156" s="23"/>
      <c r="G156" s="13"/>
    </row>
    <row r="157" spans="1:34" x14ac:dyDescent="0.25">
      <c r="A157" s="6"/>
      <c r="B157" s="6"/>
      <c r="C157" s="6"/>
      <c r="D157" s="6"/>
      <c r="E157" s="6"/>
      <c r="F157" s="23"/>
      <c r="G157" s="13"/>
    </row>
    <row r="158" spans="1:34" x14ac:dyDescent="0.25">
      <c r="A158" s="6"/>
      <c r="B158" s="6"/>
      <c r="C158" s="6"/>
      <c r="D158" s="6"/>
      <c r="E158" s="6"/>
      <c r="F158" s="23"/>
      <c r="G158" s="13"/>
    </row>
    <row r="159" spans="1:34" x14ac:dyDescent="0.25">
      <c r="A159" s="6"/>
      <c r="B159" s="6"/>
      <c r="C159" s="6"/>
      <c r="D159" s="6"/>
      <c r="E159" s="6"/>
      <c r="F159" s="23"/>
      <c r="G159" s="13"/>
    </row>
    <row r="160" spans="1:34" x14ac:dyDescent="0.25">
      <c r="A160" s="6"/>
      <c r="B160" s="6"/>
      <c r="C160" s="6"/>
      <c r="D160" s="6"/>
      <c r="E160" s="6"/>
      <c r="F160" s="23"/>
      <c r="G160" s="13"/>
    </row>
    <row r="161" spans="1:34" x14ac:dyDescent="0.25">
      <c r="A161" s="6"/>
      <c r="B161" s="6"/>
      <c r="C161" s="6"/>
      <c r="D161" s="6"/>
      <c r="E161" s="6"/>
      <c r="F161" s="23"/>
      <c r="G161" s="13"/>
      <c r="H161" s="13"/>
      <c r="I161" s="13"/>
      <c r="J161" s="13"/>
      <c r="K161" s="13"/>
    </row>
    <row r="162" spans="1:34" x14ac:dyDescent="0.25">
      <c r="A162" s="6"/>
      <c r="B162" s="6"/>
      <c r="C162" s="6"/>
      <c r="D162" s="6"/>
      <c r="E162" s="6"/>
      <c r="F162" s="23"/>
      <c r="G162" s="13"/>
    </row>
    <row r="163" spans="1:34" x14ac:dyDescent="0.25">
      <c r="A163" s="6"/>
      <c r="B163" s="6"/>
      <c r="C163" s="6"/>
      <c r="D163" s="6"/>
      <c r="E163" s="6"/>
      <c r="F163" s="23"/>
      <c r="G163" s="13"/>
    </row>
    <row r="164" spans="1:34" x14ac:dyDescent="0.25">
      <c r="A164" s="6"/>
      <c r="B164" s="6"/>
      <c r="C164" s="6"/>
      <c r="D164" s="6"/>
      <c r="E164" s="6"/>
      <c r="F164" s="23"/>
      <c r="G164" s="13"/>
    </row>
    <row r="165" spans="1:34" x14ac:dyDescent="0.25">
      <c r="A165" s="6"/>
      <c r="B165" s="6"/>
      <c r="C165" s="6"/>
      <c r="D165" s="6"/>
      <c r="E165" s="6"/>
      <c r="F165" s="23"/>
      <c r="G165" s="13"/>
    </row>
    <row r="166" spans="1:34" x14ac:dyDescent="0.25">
      <c r="A166" s="6"/>
      <c r="B166" s="6"/>
      <c r="C166" s="6"/>
      <c r="D166" s="6"/>
      <c r="E166" s="6"/>
      <c r="F166" s="23"/>
      <c r="G166" s="13"/>
    </row>
    <row r="167" spans="1:34" x14ac:dyDescent="0.25">
      <c r="A167" s="6"/>
      <c r="B167" s="6"/>
      <c r="C167" s="6"/>
      <c r="D167" s="6"/>
      <c r="E167" s="6"/>
      <c r="F167" s="23"/>
      <c r="G167" s="13"/>
    </row>
    <row r="168" spans="1:34" x14ac:dyDescent="0.25">
      <c r="A168" s="6"/>
      <c r="B168" s="6"/>
      <c r="C168" s="6"/>
      <c r="D168" s="6"/>
      <c r="E168" s="6"/>
      <c r="F168" s="23"/>
      <c r="G168" s="13"/>
      <c r="AH168" s="1"/>
    </row>
    <row r="169" spans="1:34" x14ac:dyDescent="0.25">
      <c r="A169" s="13"/>
      <c r="B169" s="13"/>
      <c r="C169" s="13"/>
      <c r="D169" s="13"/>
      <c r="E169" s="13"/>
      <c r="G169" s="13"/>
      <c r="AH169" s="1"/>
    </row>
    <row r="170" spans="1:34" x14ac:dyDescent="0.25">
      <c r="B170" s="75" t="s">
        <v>136</v>
      </c>
      <c r="C170" s="76"/>
      <c r="D170" s="75">
        <v>51</v>
      </c>
      <c r="E170" s="76"/>
      <c r="G170" s="13"/>
      <c r="H170" s="75" t="s">
        <v>136</v>
      </c>
      <c r="I170" s="76"/>
      <c r="J170" s="75">
        <v>41</v>
      </c>
      <c r="K170" s="76"/>
      <c r="N170" s="71" t="s">
        <v>136</v>
      </c>
      <c r="O170" s="72"/>
      <c r="P170" s="71">
        <v>37</v>
      </c>
      <c r="Q170" s="72"/>
      <c r="AH170" s="1"/>
    </row>
    <row r="171" spans="1:34" x14ac:dyDescent="0.25">
      <c r="B171" s="77"/>
      <c r="C171" s="78"/>
      <c r="D171" s="77"/>
      <c r="E171" s="78"/>
      <c r="G171" s="13"/>
      <c r="H171" s="77"/>
      <c r="I171" s="78"/>
      <c r="J171" s="77"/>
      <c r="K171" s="78"/>
      <c r="N171" s="73"/>
      <c r="O171" s="74"/>
      <c r="P171" s="73"/>
      <c r="Q171" s="74"/>
    </row>
    <row r="172" spans="1:34" x14ac:dyDescent="0.25">
      <c r="C172" s="33"/>
      <c r="D172" s="33"/>
      <c r="E172" s="34"/>
      <c r="G172" s="13"/>
    </row>
    <row r="173" spans="1:34" x14ac:dyDescent="0.25">
      <c r="C173" s="33"/>
      <c r="D173" s="37">
        <v>10</v>
      </c>
      <c r="E173" s="19">
        <f>(0.7841-0.085*LN(25))*100</f>
        <v>51.049555488620292</v>
      </c>
      <c r="G173" s="13"/>
      <c r="J173" s="37">
        <v>10</v>
      </c>
      <c r="K173" s="37">
        <f>(0.6384-0.072*LN(25))*100</f>
        <v>40.664094060948955</v>
      </c>
      <c r="L173" s="29"/>
      <c r="N173" s="37">
        <v>10</v>
      </c>
      <c r="O173" s="37">
        <f>(0.5267-0.05*LN(25))*100</f>
        <v>36.575620875658984</v>
      </c>
    </row>
    <row r="174" spans="1:34" x14ac:dyDescent="0.25">
      <c r="C174" s="33"/>
      <c r="D174" s="37">
        <v>25</v>
      </c>
      <c r="E174" s="19">
        <f>(0.7841-0.085*LN(25))*100</f>
        <v>51.049555488620292</v>
      </c>
      <c r="G174" s="13"/>
      <c r="J174" s="37">
        <v>25</v>
      </c>
      <c r="K174" s="37">
        <f>(0.6384-0.072*LN(25))*100</f>
        <v>40.664094060948955</v>
      </c>
      <c r="L174" s="29"/>
      <c r="N174" s="37">
        <v>25</v>
      </c>
      <c r="O174" s="37">
        <f>(0.5267-0.05*LN(25))*100</f>
        <v>36.575620875658984</v>
      </c>
    </row>
    <row r="175" spans="1:34" x14ac:dyDescent="0.25">
      <c r="C175" s="33"/>
      <c r="D175" s="37">
        <v>25</v>
      </c>
      <c r="E175" s="37">
        <v>0.48</v>
      </c>
      <c r="G175" s="13"/>
      <c r="J175" s="37">
        <v>25</v>
      </c>
      <c r="K175" s="37">
        <v>0</v>
      </c>
      <c r="L175" s="29"/>
      <c r="N175" s="37">
        <v>25</v>
      </c>
      <c r="O175" s="37">
        <v>0</v>
      </c>
    </row>
    <row r="176" spans="1:34" x14ac:dyDescent="0.25">
      <c r="C176" s="33"/>
      <c r="D176" s="37"/>
      <c r="E176" s="37"/>
      <c r="G176" s="13"/>
    </row>
    <row r="177" spans="1:32" x14ac:dyDescent="0.25">
      <c r="A177" s="66" t="s">
        <v>79</v>
      </c>
      <c r="B177" s="66"/>
      <c r="C177" s="66"/>
      <c r="D177" s="66"/>
      <c r="E177" s="66"/>
      <c r="F177" s="66"/>
      <c r="G177" s="66" t="s">
        <v>131</v>
      </c>
      <c r="H177" s="66"/>
      <c r="I177" s="66"/>
      <c r="J177" s="66"/>
      <c r="K177" s="66"/>
      <c r="L177" s="66"/>
      <c r="M177" s="68" t="s">
        <v>100</v>
      </c>
      <c r="N177" s="68"/>
      <c r="O177" s="68"/>
      <c r="P177" s="68"/>
      <c r="Q177" s="68"/>
      <c r="R177" s="68"/>
    </row>
    <row r="178" spans="1:32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8"/>
      <c r="N178" s="68"/>
      <c r="O178" s="68"/>
      <c r="P178" s="68"/>
      <c r="Q178" s="68"/>
      <c r="R178" s="68"/>
    </row>
    <row r="179" spans="1:32" x14ac:dyDescent="0.25">
      <c r="A179" s="66" t="s">
        <v>0</v>
      </c>
      <c r="B179" s="66"/>
      <c r="C179" s="66"/>
      <c r="D179" s="66"/>
      <c r="E179" s="66"/>
      <c r="F179" s="66"/>
      <c r="G179" s="66" t="s">
        <v>0</v>
      </c>
      <c r="H179" s="66"/>
      <c r="I179" s="66"/>
      <c r="J179" s="66"/>
      <c r="K179" s="66"/>
      <c r="L179" s="66"/>
      <c r="M179" s="68" t="s">
        <v>0</v>
      </c>
      <c r="N179" s="68"/>
      <c r="O179" s="68"/>
      <c r="P179" s="68"/>
      <c r="Q179" s="68"/>
      <c r="R179" s="68"/>
    </row>
    <row r="180" spans="1:32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8"/>
      <c r="N180" s="68"/>
      <c r="O180" s="68"/>
      <c r="P180" s="68"/>
      <c r="Q180" s="68"/>
      <c r="R180" s="68"/>
    </row>
    <row r="181" spans="1:32" x14ac:dyDescent="0.25">
      <c r="W181" s="80"/>
      <c r="X181" s="80"/>
      <c r="Y181" s="80"/>
      <c r="Z181" s="80"/>
      <c r="AA181" s="80"/>
      <c r="AB181" s="80"/>
    </row>
    <row r="182" spans="1:32" x14ac:dyDescent="0.25">
      <c r="A182" s="61" t="s">
        <v>132</v>
      </c>
      <c r="B182" s="61"/>
      <c r="C182" s="61"/>
      <c r="D182" s="61"/>
      <c r="E182" s="61"/>
      <c r="F182" s="61"/>
      <c r="G182" s="61" t="s">
        <v>132</v>
      </c>
      <c r="H182" s="61"/>
      <c r="I182" s="61"/>
      <c r="J182" s="61"/>
      <c r="K182" s="61"/>
      <c r="L182" s="61"/>
      <c r="M182" s="65" t="s">
        <v>132</v>
      </c>
      <c r="N182" s="65"/>
      <c r="O182" s="65"/>
      <c r="P182" s="65"/>
      <c r="Q182" s="65"/>
      <c r="R182" s="65"/>
    </row>
    <row r="183" spans="1:32" x14ac:dyDescent="0.25">
      <c r="S183" s="7"/>
      <c r="T183" s="7"/>
      <c r="U183" s="7"/>
      <c r="AC183" s="15"/>
    </row>
    <row r="184" spans="1:32" x14ac:dyDescent="0.25">
      <c r="C184" s="1" t="s">
        <v>1</v>
      </c>
      <c r="E184" s="61" t="s">
        <v>133</v>
      </c>
      <c r="F184" s="61"/>
      <c r="I184" s="1" t="s">
        <v>1</v>
      </c>
      <c r="K184" s="61" t="s">
        <v>133</v>
      </c>
      <c r="L184" s="61"/>
      <c r="O184" s="33" t="s">
        <v>1</v>
      </c>
      <c r="Q184" s="65" t="s">
        <v>133</v>
      </c>
      <c r="R184" s="65"/>
      <c r="S184" s="7"/>
      <c r="T184" s="7"/>
      <c r="U184" s="7"/>
      <c r="AC184" s="15"/>
    </row>
    <row r="185" spans="1:32" x14ac:dyDescent="0.25">
      <c r="A185" s="61" t="s">
        <v>25</v>
      </c>
      <c r="B185" s="61"/>
      <c r="C185" s="61" t="s">
        <v>52</v>
      </c>
      <c r="D185" s="61"/>
      <c r="E185" s="61"/>
      <c r="F185" s="61"/>
      <c r="G185" s="61" t="s">
        <v>25</v>
      </c>
      <c r="H185" s="61"/>
      <c r="I185" s="61" t="s">
        <v>54</v>
      </c>
      <c r="J185" s="61"/>
      <c r="K185" s="61"/>
      <c r="L185" s="61"/>
      <c r="M185" s="65" t="s">
        <v>25</v>
      </c>
      <c r="N185" s="65"/>
      <c r="O185" s="65" t="s">
        <v>56</v>
      </c>
      <c r="P185" s="65"/>
      <c r="Q185" s="65"/>
      <c r="R185" s="65"/>
      <c r="S185" s="7"/>
      <c r="T185" s="7"/>
      <c r="U185" s="7"/>
      <c r="AC185" s="15"/>
    </row>
    <row r="186" spans="1:32" x14ac:dyDescent="0.25">
      <c r="A186" s="61" t="s">
        <v>44</v>
      </c>
      <c r="B186" s="61"/>
      <c r="C186" s="61" t="s">
        <v>53</v>
      </c>
      <c r="D186" s="61"/>
      <c r="E186" s="61"/>
      <c r="F186" s="61"/>
      <c r="G186" s="61" t="s">
        <v>44</v>
      </c>
      <c r="H186" s="61"/>
      <c r="I186" s="61" t="s">
        <v>36</v>
      </c>
      <c r="J186" s="61"/>
      <c r="K186" s="61"/>
      <c r="L186" s="61"/>
      <c r="M186" s="65" t="s">
        <v>44</v>
      </c>
      <c r="N186" s="65"/>
      <c r="O186" s="65" t="s">
        <v>55</v>
      </c>
      <c r="P186" s="65"/>
      <c r="Q186" s="65"/>
      <c r="R186" s="65"/>
      <c r="W186" s="79"/>
      <c r="X186" s="79"/>
      <c r="Y186" s="79"/>
      <c r="Z186" s="79"/>
      <c r="AA186" s="79"/>
      <c r="AB186" s="79"/>
      <c r="AC186" s="79"/>
    </row>
    <row r="187" spans="1:32" x14ac:dyDescent="0.25">
      <c r="A187" s="13"/>
      <c r="B187" s="13"/>
      <c r="C187" s="13"/>
      <c r="D187" s="13"/>
      <c r="E187" s="13"/>
    </row>
    <row r="188" spans="1:32" x14ac:dyDescent="0.25">
      <c r="A188" s="13"/>
      <c r="B188" s="13"/>
      <c r="C188" s="13"/>
      <c r="D188" s="13"/>
      <c r="E188" s="13"/>
      <c r="W188" s="80"/>
      <c r="X188" s="80"/>
      <c r="Y188" s="80"/>
      <c r="Z188" s="80"/>
      <c r="AA188" s="80"/>
      <c r="AB188" s="80"/>
    </row>
    <row r="189" spans="1:32" x14ac:dyDescent="0.25">
      <c r="A189" s="13"/>
      <c r="B189" s="13"/>
      <c r="C189" s="13"/>
      <c r="D189" s="13"/>
      <c r="E189" s="13"/>
    </row>
    <row r="190" spans="1:32" ht="45" x14ac:dyDescent="0.25">
      <c r="A190" s="5" t="s">
        <v>27</v>
      </c>
      <c r="B190" s="5" t="s">
        <v>28</v>
      </c>
      <c r="C190" s="5" t="s">
        <v>74</v>
      </c>
      <c r="D190" s="5" t="s">
        <v>75</v>
      </c>
      <c r="E190" s="5" t="s">
        <v>76</v>
      </c>
      <c r="F190" s="22" t="s">
        <v>32</v>
      </c>
      <c r="G190" s="5" t="s">
        <v>27</v>
      </c>
      <c r="H190" s="5" t="s">
        <v>28</v>
      </c>
      <c r="I190" s="5" t="s">
        <v>74</v>
      </c>
      <c r="J190" s="5" t="s">
        <v>75</v>
      </c>
      <c r="K190" s="5" t="s">
        <v>76</v>
      </c>
      <c r="L190" s="22" t="s">
        <v>32</v>
      </c>
      <c r="M190" s="25" t="s">
        <v>27</v>
      </c>
      <c r="N190" s="25" t="s">
        <v>28</v>
      </c>
      <c r="O190" s="25" t="s">
        <v>74</v>
      </c>
      <c r="P190" s="25" t="s">
        <v>75</v>
      </c>
      <c r="Q190" s="25" t="s">
        <v>76</v>
      </c>
      <c r="R190" s="31" t="s">
        <v>32</v>
      </c>
      <c r="S190" s="7"/>
      <c r="T190" s="7"/>
      <c r="U190" s="7"/>
      <c r="AC190" s="10"/>
      <c r="AD190" s="7"/>
      <c r="AE190" s="7"/>
      <c r="AF190" s="7"/>
    </row>
    <row r="191" spans="1:32" ht="30" customHeight="1" x14ac:dyDescent="0.25">
      <c r="A191" s="2" t="s">
        <v>71</v>
      </c>
      <c r="B191" s="2">
        <v>26</v>
      </c>
      <c r="C191" s="16">
        <v>45</v>
      </c>
      <c r="D191" s="16">
        <v>75.8</v>
      </c>
      <c r="E191" s="16">
        <v>65.2</v>
      </c>
      <c r="F191" s="21">
        <f t="shared" ref="F191:F193" si="10">(D191-E191)/(E191-C191)*100</f>
        <v>52.475247524752447</v>
      </c>
      <c r="G191" s="2" t="s">
        <v>64</v>
      </c>
      <c r="H191" s="2">
        <v>31</v>
      </c>
      <c r="I191" s="16">
        <v>50.3</v>
      </c>
      <c r="J191" s="16">
        <v>59.924999999999997</v>
      </c>
      <c r="K191" s="16">
        <v>57.3</v>
      </c>
      <c r="L191" s="21">
        <f>(J191-K191)/(K191-I191)*100</f>
        <v>37.5</v>
      </c>
      <c r="M191" s="26" t="s">
        <v>65</v>
      </c>
      <c r="N191" s="26">
        <v>35</v>
      </c>
      <c r="O191" s="27">
        <v>43.2</v>
      </c>
      <c r="P191" s="27">
        <v>72.8</v>
      </c>
      <c r="Q191" s="27">
        <v>65.599999999999994</v>
      </c>
      <c r="R191" s="32">
        <f>(P191-Q191)/(Q191-O191)*100</f>
        <v>32.142857142857167</v>
      </c>
      <c r="S191" s="7"/>
      <c r="T191" s="7"/>
      <c r="U191" s="7"/>
      <c r="AC191" s="10"/>
      <c r="AD191" s="7"/>
      <c r="AE191" s="7"/>
      <c r="AF191" s="7"/>
    </row>
    <row r="192" spans="1:32" ht="30" customHeight="1" x14ac:dyDescent="0.25">
      <c r="A192" s="2" t="s">
        <v>62</v>
      </c>
      <c r="B192" s="2">
        <v>24</v>
      </c>
      <c r="C192" s="16">
        <v>45.4</v>
      </c>
      <c r="D192" s="16">
        <v>74.2</v>
      </c>
      <c r="E192" s="16">
        <v>64.2</v>
      </c>
      <c r="F192" s="21">
        <f t="shared" si="10"/>
        <v>53.191489361702118</v>
      </c>
      <c r="G192" s="2" t="s">
        <v>37</v>
      </c>
      <c r="H192" s="2">
        <v>30</v>
      </c>
      <c r="I192" s="16">
        <v>46</v>
      </c>
      <c r="J192" s="16">
        <v>56.414999999999999</v>
      </c>
      <c r="K192" s="16">
        <v>53.46</v>
      </c>
      <c r="L192" s="21">
        <f t="shared" ref="L192:L193" si="11">(J192-K192)/(K192-I192)*100</f>
        <v>39.611260053619276</v>
      </c>
      <c r="M192" s="26" t="s">
        <v>88</v>
      </c>
      <c r="N192" s="26">
        <v>27</v>
      </c>
      <c r="O192" s="27">
        <v>48.9</v>
      </c>
      <c r="P192" s="27">
        <v>77</v>
      </c>
      <c r="Q192" s="27">
        <v>70</v>
      </c>
      <c r="R192" s="32">
        <f t="shared" ref="R192:R193" si="12">(P192-Q192)/(Q192-O192)*100</f>
        <v>33.175355450236964</v>
      </c>
      <c r="S192" s="7"/>
      <c r="T192" s="7"/>
      <c r="U192" s="7"/>
      <c r="AC192" s="10"/>
      <c r="AD192" s="7"/>
      <c r="AE192" s="7"/>
      <c r="AF192" s="7"/>
    </row>
    <row r="193" spans="1:32" ht="30" customHeight="1" x14ac:dyDescent="0.25">
      <c r="A193" s="2" t="s">
        <v>60</v>
      </c>
      <c r="B193" s="2">
        <v>20</v>
      </c>
      <c r="C193" s="16">
        <v>40.799999999999997</v>
      </c>
      <c r="D193" s="16">
        <v>68.3</v>
      </c>
      <c r="E193" s="16">
        <v>58.5</v>
      </c>
      <c r="F193" s="21">
        <f t="shared" si="10"/>
        <v>55.367231638418055</v>
      </c>
      <c r="G193" s="2" t="s">
        <v>89</v>
      </c>
      <c r="H193" s="2">
        <v>20</v>
      </c>
      <c r="I193" s="16">
        <v>45.8</v>
      </c>
      <c r="J193" s="16">
        <v>55.805</v>
      </c>
      <c r="K193" s="16">
        <v>52.9</v>
      </c>
      <c r="L193" s="21">
        <f t="shared" si="11"/>
        <v>40.915492957746487</v>
      </c>
      <c r="M193" s="26" t="s">
        <v>38</v>
      </c>
      <c r="N193" s="26">
        <v>19</v>
      </c>
      <c r="O193" s="27">
        <v>48</v>
      </c>
      <c r="P193" s="27">
        <v>73.900000000000006</v>
      </c>
      <c r="Q193" s="27">
        <v>66.86</v>
      </c>
      <c r="R193" s="32">
        <f t="shared" si="12"/>
        <v>37.327677624602366</v>
      </c>
      <c r="W193" s="79"/>
      <c r="X193" s="79"/>
      <c r="Y193" s="79"/>
      <c r="Z193" s="79"/>
      <c r="AA193" s="79"/>
      <c r="AB193" s="79"/>
      <c r="AC193" s="79"/>
    </row>
    <row r="194" spans="1:32" x14ac:dyDescent="0.25">
      <c r="G194" s="13"/>
    </row>
    <row r="195" spans="1:32" x14ac:dyDescent="0.25">
      <c r="G195" s="13"/>
      <c r="M195" s="65"/>
      <c r="N195" s="65"/>
      <c r="O195" s="65"/>
      <c r="P195" s="65"/>
      <c r="Q195" s="65"/>
      <c r="R195" s="65"/>
      <c r="W195" s="80"/>
      <c r="X195" s="80"/>
      <c r="Y195" s="80"/>
      <c r="Z195" s="80"/>
      <c r="AA195" s="80"/>
      <c r="AB195" s="80"/>
    </row>
    <row r="196" spans="1:32" x14ac:dyDescent="0.25">
      <c r="G196" s="13"/>
    </row>
    <row r="197" spans="1:32" x14ac:dyDescent="0.25">
      <c r="G197" s="13"/>
      <c r="S197" s="7"/>
      <c r="T197" s="7"/>
      <c r="U197" s="7"/>
      <c r="AC197" s="10"/>
      <c r="AD197" s="7"/>
      <c r="AE197" s="7"/>
      <c r="AF197" s="7"/>
    </row>
    <row r="198" spans="1:32" x14ac:dyDescent="0.25">
      <c r="G198" s="13"/>
      <c r="S198" s="7"/>
      <c r="T198" s="7"/>
      <c r="U198" s="7"/>
      <c r="AC198" s="10"/>
      <c r="AD198" s="7"/>
      <c r="AE198" s="7"/>
      <c r="AF198" s="7"/>
    </row>
    <row r="199" spans="1:32" x14ac:dyDescent="0.25">
      <c r="G199" s="13"/>
      <c r="S199" s="7"/>
      <c r="T199" s="7"/>
      <c r="U199" s="7"/>
      <c r="AC199" s="10"/>
      <c r="AD199" s="7"/>
      <c r="AE199" s="7"/>
      <c r="AF199" s="7"/>
    </row>
    <row r="200" spans="1:32" x14ac:dyDescent="0.25">
      <c r="G200" s="13"/>
      <c r="M200" s="81"/>
      <c r="N200" s="81"/>
      <c r="O200" s="81"/>
      <c r="P200" s="81"/>
      <c r="Q200" s="81"/>
      <c r="R200" s="81"/>
      <c r="W200" s="79"/>
      <c r="X200" s="79"/>
      <c r="Y200" s="79"/>
      <c r="Z200" s="79"/>
      <c r="AA200" s="79"/>
      <c r="AB200" s="79"/>
      <c r="AC200" s="79"/>
    </row>
    <row r="201" spans="1:32" x14ac:dyDescent="0.25">
      <c r="G201" s="13"/>
      <c r="M201" s="29"/>
      <c r="N201" s="29"/>
      <c r="O201" s="29"/>
      <c r="P201" s="29"/>
      <c r="Q201" s="29"/>
    </row>
    <row r="202" spans="1:32" x14ac:dyDescent="0.25">
      <c r="G202" s="13"/>
      <c r="M202" s="29"/>
      <c r="N202" s="29"/>
      <c r="O202" s="29"/>
      <c r="P202" s="29"/>
      <c r="Q202" s="29"/>
    </row>
    <row r="203" spans="1:32" x14ac:dyDescent="0.25">
      <c r="G203" s="13"/>
      <c r="M203" s="29"/>
      <c r="N203" s="29"/>
      <c r="O203" s="29"/>
      <c r="P203" s="29"/>
      <c r="Q203" s="29"/>
    </row>
    <row r="204" spans="1:32" x14ac:dyDescent="0.25">
      <c r="G204" s="13"/>
      <c r="M204" s="29"/>
      <c r="N204" s="29"/>
      <c r="O204" s="29"/>
      <c r="P204" s="29"/>
      <c r="Q204" s="29"/>
    </row>
    <row r="205" spans="1:32" x14ac:dyDescent="0.25">
      <c r="G205" s="13"/>
      <c r="H205" s="13"/>
      <c r="I205" s="13"/>
      <c r="J205" s="13"/>
      <c r="K205" s="13"/>
      <c r="M205" s="29"/>
      <c r="N205" s="29"/>
      <c r="O205" s="29"/>
      <c r="P205" s="29"/>
      <c r="Q205" s="29"/>
    </row>
    <row r="206" spans="1:32" x14ac:dyDescent="0.25">
      <c r="G206" s="13"/>
      <c r="M206" s="29"/>
      <c r="N206" s="29"/>
      <c r="O206" s="29"/>
      <c r="P206" s="29"/>
      <c r="Q206" s="29"/>
    </row>
    <row r="207" spans="1:32" x14ac:dyDescent="0.25">
      <c r="G207" s="13"/>
      <c r="M207" s="29"/>
      <c r="N207" s="29"/>
      <c r="O207" s="29"/>
      <c r="P207" s="29"/>
      <c r="Q207" s="29"/>
    </row>
    <row r="208" spans="1:32" x14ac:dyDescent="0.25">
      <c r="G208" s="13"/>
      <c r="M208" s="29"/>
      <c r="N208" s="29"/>
      <c r="O208" s="29"/>
      <c r="P208" s="29"/>
      <c r="Q208" s="29"/>
    </row>
    <row r="209" spans="1:34" x14ac:dyDescent="0.25">
      <c r="G209" s="13"/>
      <c r="M209" s="29"/>
      <c r="N209" s="29"/>
      <c r="O209" s="29"/>
      <c r="P209" s="29"/>
      <c r="Q209" s="29"/>
    </row>
    <row r="210" spans="1:34" x14ac:dyDescent="0.25">
      <c r="G210" s="13"/>
      <c r="M210" s="29"/>
      <c r="N210" s="29"/>
      <c r="O210" s="29"/>
      <c r="P210" s="29"/>
      <c r="Q210" s="29"/>
    </row>
    <row r="211" spans="1:34" x14ac:dyDescent="0.25">
      <c r="G211" s="13"/>
      <c r="M211" s="29"/>
      <c r="N211" s="29"/>
      <c r="O211" s="29"/>
      <c r="P211" s="29"/>
      <c r="Q211" s="29"/>
    </row>
    <row r="212" spans="1:34" x14ac:dyDescent="0.25">
      <c r="G212" s="13"/>
      <c r="M212" s="29"/>
      <c r="N212" s="29"/>
      <c r="O212" s="29"/>
      <c r="P212" s="29"/>
      <c r="Q212" s="29"/>
      <c r="AH212" s="1"/>
    </row>
    <row r="213" spans="1:34" x14ac:dyDescent="0.25">
      <c r="G213" s="13"/>
      <c r="M213" s="29"/>
      <c r="N213" s="29"/>
      <c r="O213" s="29"/>
      <c r="P213" s="29"/>
      <c r="Q213" s="29"/>
      <c r="AH213" s="1"/>
    </row>
    <row r="214" spans="1:34" x14ac:dyDescent="0.25">
      <c r="B214" s="75" t="s">
        <v>136</v>
      </c>
      <c r="C214" s="76"/>
      <c r="D214" s="75">
        <v>53</v>
      </c>
      <c r="E214" s="76"/>
      <c r="G214" s="13"/>
      <c r="H214" s="75" t="s">
        <v>136</v>
      </c>
      <c r="I214" s="76"/>
      <c r="J214" s="75">
        <v>40</v>
      </c>
      <c r="K214" s="76"/>
      <c r="M214" s="29"/>
      <c r="N214" s="71" t="s">
        <v>136</v>
      </c>
      <c r="O214" s="72"/>
      <c r="P214" s="71">
        <v>35</v>
      </c>
      <c r="Q214" s="72"/>
      <c r="AH214" s="1"/>
    </row>
    <row r="215" spans="1:34" x14ac:dyDescent="0.25">
      <c r="B215" s="77"/>
      <c r="C215" s="78"/>
      <c r="D215" s="77"/>
      <c r="E215" s="78"/>
      <c r="G215" s="13"/>
      <c r="H215" s="77"/>
      <c r="I215" s="78"/>
      <c r="J215" s="77"/>
      <c r="K215" s="78"/>
      <c r="M215" s="29"/>
      <c r="N215" s="73"/>
      <c r="O215" s="74"/>
      <c r="P215" s="73"/>
      <c r="Q215" s="74"/>
    </row>
    <row r="216" spans="1:34" x14ac:dyDescent="0.25">
      <c r="C216" s="33"/>
      <c r="D216" s="33"/>
      <c r="E216" s="34"/>
      <c r="F216" s="29"/>
      <c r="G216" s="13"/>
      <c r="J216" s="33"/>
      <c r="K216" s="33"/>
      <c r="M216" s="29"/>
      <c r="N216" s="29"/>
      <c r="O216" s="29"/>
      <c r="P216" s="29"/>
      <c r="Q216" s="29"/>
    </row>
    <row r="217" spans="1:34" x14ac:dyDescent="0.25">
      <c r="C217" s="33"/>
      <c r="D217" s="37">
        <v>10</v>
      </c>
      <c r="E217" s="19">
        <f>(0.8883-0.112*LN(25))*100</f>
        <v>52.778590761476153</v>
      </c>
      <c r="F217" s="29"/>
      <c r="G217" s="13"/>
      <c r="J217" s="37">
        <v>10</v>
      </c>
      <c r="K217" s="37">
        <f>(0.5854-0.059*LN(25))*100</f>
        <v>39.54863263327762</v>
      </c>
      <c r="M217" s="29"/>
      <c r="N217" s="37">
        <v>10</v>
      </c>
      <c r="O217" s="37">
        <f>(0.6255-0.087*LN(25))*100</f>
        <v>34.545780323646653</v>
      </c>
      <c r="P217" s="29"/>
      <c r="Q217" s="29"/>
    </row>
    <row r="218" spans="1:34" x14ac:dyDescent="0.25">
      <c r="C218" s="33"/>
      <c r="D218" s="37">
        <v>25</v>
      </c>
      <c r="E218" s="19">
        <f>(0.8883-0.112*LN(25))*100</f>
        <v>52.778590761476153</v>
      </c>
      <c r="F218" s="29"/>
      <c r="G218" s="13"/>
      <c r="J218" s="37">
        <v>25</v>
      </c>
      <c r="K218" s="37">
        <f>(0.5854-0.059*LN(25))*100</f>
        <v>39.54863263327762</v>
      </c>
      <c r="M218" s="29"/>
      <c r="N218" s="37">
        <v>25</v>
      </c>
      <c r="O218" s="37">
        <f>(0.6255-0.087*LN(25))*100</f>
        <v>34.545780323646653</v>
      </c>
      <c r="P218" s="29"/>
      <c r="Q218" s="29"/>
    </row>
    <row r="219" spans="1:34" x14ac:dyDescent="0.25">
      <c r="C219" s="33"/>
      <c r="D219" s="37">
        <v>25</v>
      </c>
      <c r="E219" s="19">
        <v>0</v>
      </c>
      <c r="F219" s="29"/>
      <c r="G219" s="13"/>
      <c r="J219" s="37">
        <v>25</v>
      </c>
      <c r="K219" s="37">
        <v>0</v>
      </c>
      <c r="M219" s="29"/>
      <c r="N219" s="37">
        <v>25</v>
      </c>
      <c r="O219" s="37">
        <v>0</v>
      </c>
      <c r="P219" s="29"/>
      <c r="Q219" s="29"/>
    </row>
    <row r="220" spans="1:34" x14ac:dyDescent="0.25">
      <c r="G220" s="13"/>
      <c r="J220" s="33"/>
      <c r="K220" s="33"/>
      <c r="M220" s="29"/>
      <c r="N220" s="29"/>
      <c r="O220" s="29"/>
      <c r="P220" s="29"/>
      <c r="Q220" s="29"/>
    </row>
    <row r="221" spans="1:34" x14ac:dyDescent="0.25">
      <c r="A221" s="66" t="s">
        <v>80</v>
      </c>
      <c r="B221" s="66"/>
      <c r="C221" s="66"/>
      <c r="D221" s="66"/>
      <c r="E221" s="66"/>
      <c r="F221" s="66"/>
      <c r="G221" s="13"/>
      <c r="M221" s="29"/>
      <c r="N221" s="29"/>
      <c r="O221" s="29"/>
      <c r="P221" s="29"/>
      <c r="Q221" s="29"/>
    </row>
    <row r="222" spans="1:34" x14ac:dyDescent="0.25">
      <c r="A222" s="66"/>
      <c r="B222" s="66"/>
      <c r="C222" s="66"/>
      <c r="D222" s="66"/>
      <c r="E222" s="66"/>
      <c r="F222" s="66"/>
      <c r="G222" s="13"/>
      <c r="M222" s="29"/>
      <c r="N222" s="29"/>
      <c r="O222" s="29"/>
      <c r="P222" s="29"/>
      <c r="Q222" s="29"/>
    </row>
    <row r="223" spans="1:34" x14ac:dyDescent="0.25">
      <c r="A223" s="66" t="s">
        <v>0</v>
      </c>
      <c r="B223" s="66"/>
      <c r="C223" s="66"/>
      <c r="D223" s="66"/>
      <c r="E223" s="66"/>
      <c r="F223" s="66"/>
      <c r="G223" s="13"/>
      <c r="M223" s="29"/>
      <c r="N223" s="29"/>
      <c r="O223" s="29"/>
      <c r="P223" s="29"/>
      <c r="Q223" s="29"/>
    </row>
    <row r="224" spans="1:34" x14ac:dyDescent="0.25">
      <c r="A224" s="66"/>
      <c r="B224" s="66"/>
      <c r="C224" s="66"/>
      <c r="D224" s="66"/>
      <c r="E224" s="66"/>
      <c r="F224" s="66"/>
      <c r="G224" s="13"/>
      <c r="M224" s="29"/>
      <c r="N224" s="29"/>
      <c r="O224" s="29"/>
      <c r="P224" s="29"/>
      <c r="Q224" s="29"/>
    </row>
    <row r="225" spans="1:17" x14ac:dyDescent="0.25">
      <c r="G225" s="13"/>
      <c r="M225" s="29"/>
      <c r="N225" s="29"/>
      <c r="O225" s="29"/>
      <c r="P225" s="29"/>
      <c r="Q225" s="29"/>
    </row>
    <row r="226" spans="1:17" x14ac:dyDescent="0.25">
      <c r="A226" s="61" t="s">
        <v>132</v>
      </c>
      <c r="B226" s="61"/>
      <c r="C226" s="61"/>
      <c r="D226" s="61"/>
      <c r="E226" s="61"/>
      <c r="F226" s="61"/>
      <c r="G226" s="13"/>
      <c r="M226" s="29"/>
      <c r="N226" s="29"/>
      <c r="O226" s="29"/>
      <c r="P226" s="29"/>
      <c r="Q226" s="29"/>
    </row>
    <row r="227" spans="1:17" x14ac:dyDescent="0.25">
      <c r="G227" s="13"/>
      <c r="M227" s="29"/>
      <c r="N227" s="29"/>
      <c r="O227" s="29"/>
      <c r="P227" s="29"/>
      <c r="Q227" s="29"/>
    </row>
    <row r="228" spans="1:17" x14ac:dyDescent="0.25">
      <c r="C228" s="1" t="s">
        <v>1</v>
      </c>
      <c r="E228" s="61" t="s">
        <v>133</v>
      </c>
      <c r="F228" s="61"/>
      <c r="G228" s="13"/>
      <c r="M228" s="29"/>
      <c r="N228" s="29"/>
      <c r="O228" s="29"/>
      <c r="P228" s="29"/>
      <c r="Q228" s="29"/>
    </row>
    <row r="229" spans="1:17" x14ac:dyDescent="0.25">
      <c r="A229" s="61" t="s">
        <v>25</v>
      </c>
      <c r="B229" s="61"/>
      <c r="C229" s="61" t="s">
        <v>52</v>
      </c>
      <c r="D229" s="61"/>
      <c r="E229" s="61"/>
      <c r="F229" s="61"/>
      <c r="G229" s="13"/>
      <c r="M229" s="29"/>
      <c r="N229" s="29"/>
      <c r="O229" s="29"/>
      <c r="P229" s="29"/>
      <c r="Q229" s="29"/>
    </row>
    <row r="230" spans="1:17" x14ac:dyDescent="0.25">
      <c r="A230" s="61" t="s">
        <v>44</v>
      </c>
      <c r="B230" s="61"/>
      <c r="C230" s="61" t="s">
        <v>53</v>
      </c>
      <c r="D230" s="61"/>
      <c r="E230" s="61"/>
      <c r="F230" s="61"/>
      <c r="G230" s="13"/>
      <c r="M230" s="29"/>
      <c r="N230" s="29"/>
      <c r="O230" s="29"/>
      <c r="P230" s="29"/>
      <c r="Q230" s="29"/>
    </row>
    <row r="231" spans="1:17" x14ac:dyDescent="0.25">
      <c r="A231" s="13"/>
      <c r="B231" s="13"/>
      <c r="C231" s="13"/>
      <c r="D231" s="13"/>
      <c r="E231" s="13"/>
      <c r="G231" s="13"/>
      <c r="M231" s="29"/>
      <c r="N231" s="29"/>
      <c r="O231" s="29"/>
      <c r="P231" s="29"/>
      <c r="Q231" s="29"/>
    </row>
    <row r="232" spans="1:17" x14ac:dyDescent="0.25">
      <c r="A232" s="13"/>
      <c r="B232" s="13"/>
      <c r="C232" s="13"/>
      <c r="D232" s="13"/>
      <c r="E232" s="13"/>
      <c r="G232" s="13"/>
      <c r="M232" s="29"/>
      <c r="N232" s="29"/>
      <c r="O232" s="29"/>
      <c r="P232" s="29"/>
      <c r="Q232" s="29"/>
    </row>
    <row r="233" spans="1:17" x14ac:dyDescent="0.25">
      <c r="A233" s="13"/>
      <c r="B233" s="13"/>
      <c r="C233" s="13"/>
      <c r="D233" s="13"/>
      <c r="E233" s="13"/>
      <c r="G233" s="13"/>
      <c r="M233" s="29"/>
      <c r="N233" s="29"/>
      <c r="O233" s="29"/>
      <c r="P233" s="29"/>
      <c r="Q233" s="29"/>
    </row>
    <row r="234" spans="1:17" ht="45" x14ac:dyDescent="0.25">
      <c r="A234" s="5" t="s">
        <v>27</v>
      </c>
      <c r="B234" s="5" t="s">
        <v>28</v>
      </c>
      <c r="C234" s="5" t="s">
        <v>74</v>
      </c>
      <c r="D234" s="5" t="s">
        <v>75</v>
      </c>
      <c r="E234" s="5" t="s">
        <v>76</v>
      </c>
      <c r="F234" s="22" t="s">
        <v>32</v>
      </c>
      <c r="G234" s="13"/>
      <c r="M234" s="29"/>
      <c r="N234" s="29"/>
      <c r="O234" s="29"/>
      <c r="P234" s="29"/>
      <c r="Q234" s="29"/>
    </row>
    <row r="235" spans="1:17" ht="30" customHeight="1" x14ac:dyDescent="0.25">
      <c r="A235" s="2" t="s">
        <v>33</v>
      </c>
      <c r="B235" s="2">
        <v>35</v>
      </c>
      <c r="C235" s="16">
        <v>38.799999999999997</v>
      </c>
      <c r="D235" s="16">
        <v>72</v>
      </c>
      <c r="E235" s="16">
        <v>61.1</v>
      </c>
      <c r="F235" s="21">
        <f t="shared" ref="F235:F237" si="13">(D235-E235)/(E235-C235)*100</f>
        <v>48.878923766816129</v>
      </c>
      <c r="G235" s="13"/>
      <c r="M235" s="29"/>
      <c r="N235" s="29"/>
      <c r="O235" s="29"/>
      <c r="P235" s="29"/>
      <c r="Q235" s="29"/>
    </row>
    <row r="236" spans="1:17" ht="30" customHeight="1" x14ac:dyDescent="0.25">
      <c r="A236" s="2" t="s">
        <v>34</v>
      </c>
      <c r="B236" s="2">
        <v>27</v>
      </c>
      <c r="C236" s="16">
        <v>44.8</v>
      </c>
      <c r="D236" s="16">
        <v>74.900000000000006</v>
      </c>
      <c r="E236" s="16">
        <v>64.7</v>
      </c>
      <c r="F236" s="21">
        <f t="shared" si="13"/>
        <v>51.256281407035175</v>
      </c>
      <c r="G236" s="13"/>
      <c r="M236" s="29"/>
      <c r="N236" s="29"/>
      <c r="O236" s="29"/>
      <c r="P236" s="29"/>
      <c r="Q236" s="29"/>
    </row>
    <row r="237" spans="1:17" ht="30" customHeight="1" x14ac:dyDescent="0.25">
      <c r="A237" s="2" t="s">
        <v>35</v>
      </c>
      <c r="B237" s="2">
        <v>23</v>
      </c>
      <c r="C237" s="16">
        <v>47.7</v>
      </c>
      <c r="D237" s="16">
        <v>77.8</v>
      </c>
      <c r="E237" s="16">
        <v>67.400000000000006</v>
      </c>
      <c r="F237" s="21">
        <f t="shared" si="13"/>
        <v>52.791878172588781</v>
      </c>
      <c r="G237" s="13"/>
      <c r="M237" s="29"/>
      <c r="N237" s="29"/>
      <c r="O237" s="29"/>
      <c r="P237" s="29"/>
      <c r="Q237" s="29"/>
    </row>
    <row r="238" spans="1:17" x14ac:dyDescent="0.25">
      <c r="G238" s="13"/>
      <c r="M238" s="29"/>
      <c r="N238" s="29"/>
      <c r="O238" s="29"/>
      <c r="P238" s="29"/>
      <c r="Q238" s="29"/>
    </row>
    <row r="239" spans="1:17" x14ac:dyDescent="0.25">
      <c r="G239" s="13"/>
      <c r="M239" s="29"/>
      <c r="N239" s="29"/>
      <c r="O239" s="29"/>
      <c r="P239" s="29"/>
      <c r="Q239" s="29"/>
    </row>
    <row r="240" spans="1:17" x14ac:dyDescent="0.25">
      <c r="G240" s="13"/>
      <c r="M240" s="29"/>
      <c r="N240" s="29"/>
      <c r="O240" s="29"/>
      <c r="P240" s="29"/>
      <c r="Q240" s="29"/>
    </row>
    <row r="241" spans="7:33" x14ac:dyDescent="0.25">
      <c r="G241" s="13"/>
      <c r="M241" s="29"/>
      <c r="N241" s="29"/>
      <c r="O241" s="29"/>
      <c r="P241" s="29"/>
      <c r="Q241" s="29"/>
    </row>
    <row r="242" spans="7:33" x14ac:dyDescent="0.25">
      <c r="G242" s="13"/>
      <c r="M242" s="29"/>
      <c r="N242" s="29"/>
      <c r="O242" s="29"/>
      <c r="P242" s="29"/>
      <c r="Q242" s="29"/>
    </row>
    <row r="243" spans="7:33" x14ac:dyDescent="0.25">
      <c r="G243" s="13"/>
      <c r="M243" s="29"/>
      <c r="N243" s="29"/>
      <c r="O243" s="29"/>
      <c r="P243" s="29"/>
      <c r="Q243" s="29"/>
    </row>
    <row r="244" spans="7:33" x14ac:dyDescent="0.25">
      <c r="G244" s="13"/>
      <c r="M244" s="29"/>
      <c r="N244" s="29"/>
      <c r="O244" s="29"/>
      <c r="P244" s="29"/>
      <c r="Q244" s="29"/>
    </row>
    <row r="245" spans="7:33" x14ac:dyDescent="0.25">
      <c r="G245" s="13"/>
      <c r="M245" s="29"/>
      <c r="N245" s="29"/>
      <c r="O245" s="29"/>
      <c r="P245" s="29"/>
      <c r="Q245" s="29"/>
    </row>
    <row r="246" spans="7:33" x14ac:dyDescent="0.25">
      <c r="G246" s="13"/>
      <c r="M246" s="29"/>
      <c r="N246" s="29"/>
      <c r="O246" s="29"/>
      <c r="P246" s="29"/>
      <c r="Q246" s="29"/>
    </row>
    <row r="247" spans="7:33" x14ac:dyDescent="0.25">
      <c r="G247" s="13"/>
      <c r="O247" s="41"/>
      <c r="S247" s="80"/>
      <c r="T247" s="80"/>
      <c r="U247" s="80"/>
      <c r="V247" s="80"/>
      <c r="W247" s="80"/>
      <c r="X247" s="80"/>
      <c r="Z247" s="10"/>
    </row>
    <row r="248" spans="7:33" x14ac:dyDescent="0.25">
      <c r="G248" s="42"/>
      <c r="O248" s="41"/>
      <c r="Z248" s="10"/>
    </row>
    <row r="249" spans="7:33" x14ac:dyDescent="0.25">
      <c r="G249" s="42"/>
      <c r="N249" s="43"/>
      <c r="O249" s="41"/>
      <c r="P249" s="43"/>
      <c r="Q249" s="43"/>
      <c r="R249" s="44"/>
      <c r="Y249" s="7"/>
      <c r="Z249" s="10"/>
    </row>
    <row r="250" spans="7:33" x14ac:dyDescent="0.25">
      <c r="G250" s="42"/>
      <c r="N250" s="43"/>
      <c r="O250" s="41"/>
      <c r="P250" s="43"/>
      <c r="Q250" s="43"/>
      <c r="R250" s="44"/>
      <c r="Y250" s="7"/>
      <c r="Z250" s="10"/>
    </row>
    <row r="251" spans="7:33" x14ac:dyDescent="0.25">
      <c r="G251" s="42"/>
      <c r="N251" s="43"/>
      <c r="O251" s="41"/>
      <c r="P251" s="43"/>
      <c r="Q251" s="43"/>
      <c r="R251" s="44"/>
      <c r="Y251" s="7"/>
      <c r="Z251" s="10"/>
    </row>
    <row r="252" spans="7:33" x14ac:dyDescent="0.25">
      <c r="G252" s="42"/>
      <c r="N252" s="43"/>
      <c r="O252" s="41"/>
      <c r="P252" s="43"/>
      <c r="Q252" s="43"/>
      <c r="R252" s="44"/>
      <c r="Y252" s="7"/>
      <c r="Z252" s="10"/>
    </row>
    <row r="253" spans="7:33" x14ac:dyDescent="0.25">
      <c r="G253" s="42"/>
      <c r="N253" s="43"/>
      <c r="O253" s="41"/>
      <c r="P253" s="43"/>
      <c r="Q253" s="43"/>
      <c r="R253" s="44"/>
      <c r="Y253" s="7"/>
      <c r="Z253" s="10"/>
    </row>
    <row r="254" spans="7:33" x14ac:dyDescent="0.25">
      <c r="G254" s="42"/>
      <c r="N254" s="43"/>
      <c r="O254" s="41"/>
      <c r="P254" s="43"/>
      <c r="Q254" s="43"/>
      <c r="R254" s="44"/>
      <c r="Y254" s="7"/>
      <c r="Z254" s="10"/>
      <c r="AD254" s="1"/>
      <c r="AE254" s="1"/>
      <c r="AF254" s="1"/>
      <c r="AG254" s="1"/>
    </row>
    <row r="255" spans="7:33" x14ac:dyDescent="0.25">
      <c r="G255" s="42"/>
      <c r="N255" s="43"/>
      <c r="O255" s="41"/>
      <c r="P255" s="43"/>
      <c r="Q255" s="43"/>
      <c r="R255" s="44"/>
      <c r="Y255" s="7"/>
      <c r="Z255" s="10"/>
      <c r="AD255" s="1"/>
      <c r="AE255" s="1"/>
      <c r="AF255" s="1"/>
      <c r="AG255" s="1"/>
    </row>
    <row r="256" spans="7:33" x14ac:dyDescent="0.25">
      <c r="G256" s="42"/>
      <c r="N256" s="43"/>
      <c r="O256" s="41"/>
      <c r="P256" s="43"/>
      <c r="Q256" s="43"/>
      <c r="R256" s="44"/>
      <c r="Y256" s="7"/>
      <c r="Z256" s="10"/>
      <c r="AD256" s="1"/>
      <c r="AE256" s="1"/>
      <c r="AF256" s="1"/>
      <c r="AG256" s="1"/>
    </row>
    <row r="257" spans="1:29" x14ac:dyDescent="0.25">
      <c r="G257" s="42"/>
      <c r="N257" s="43"/>
      <c r="O257" s="41"/>
      <c r="P257" s="43"/>
      <c r="Q257" s="43"/>
      <c r="R257" s="44"/>
      <c r="Y257" s="7"/>
      <c r="Z257" s="10"/>
    </row>
    <row r="258" spans="1:29" x14ac:dyDescent="0.25">
      <c r="B258" s="75" t="s">
        <v>136</v>
      </c>
      <c r="C258" s="76"/>
      <c r="D258" s="75">
        <v>52</v>
      </c>
      <c r="E258" s="76"/>
      <c r="G258" s="42"/>
      <c r="M258" s="29"/>
      <c r="N258" s="29"/>
      <c r="O258" s="29"/>
      <c r="S258" s="12"/>
      <c r="T258" s="12"/>
      <c r="U258" s="12"/>
      <c r="V258" s="12"/>
      <c r="W258" s="12"/>
      <c r="X258" s="12"/>
      <c r="Y258" s="12"/>
      <c r="Z258" s="12"/>
    </row>
    <row r="259" spans="1:29" x14ac:dyDescent="0.25">
      <c r="B259" s="77"/>
      <c r="C259" s="78"/>
      <c r="D259" s="77"/>
      <c r="E259" s="78"/>
      <c r="G259" s="42"/>
      <c r="O259" s="41"/>
      <c r="Z259" s="10"/>
    </row>
    <row r="260" spans="1:29" x14ac:dyDescent="0.25">
      <c r="C260" s="33"/>
      <c r="D260" s="33"/>
      <c r="E260" s="34"/>
      <c r="G260" s="42"/>
      <c r="O260" s="41"/>
      <c r="Z260" s="9"/>
    </row>
    <row r="261" spans="1:29" x14ac:dyDescent="0.25">
      <c r="C261" s="33"/>
      <c r="D261" s="37">
        <v>10</v>
      </c>
      <c r="E261" s="19">
        <f>(0.8195-0.093*LN(25))*100</f>
        <v>52.014454828725732</v>
      </c>
      <c r="G261" s="42"/>
      <c r="O261" s="41"/>
      <c r="Z261" s="9"/>
    </row>
    <row r="262" spans="1:29" x14ac:dyDescent="0.25">
      <c r="C262" s="33"/>
      <c r="D262" s="37">
        <v>25</v>
      </c>
      <c r="E262" s="19">
        <f>(0.8195-0.093*LN(25))*100</f>
        <v>52.014454828725732</v>
      </c>
      <c r="G262" s="42"/>
      <c r="N262" s="43"/>
      <c r="O262" s="41"/>
      <c r="P262" s="43"/>
      <c r="Q262" s="43"/>
      <c r="R262" s="44"/>
      <c r="Y262" s="7"/>
      <c r="Z262" s="9"/>
      <c r="AA262" s="7"/>
      <c r="AB262" s="7"/>
      <c r="AC262" s="7"/>
    </row>
    <row r="263" spans="1:29" x14ac:dyDescent="0.25">
      <c r="C263" s="33"/>
      <c r="D263" s="37">
        <v>25</v>
      </c>
      <c r="E263" s="19">
        <v>0</v>
      </c>
      <c r="G263" s="42"/>
      <c r="N263" s="43"/>
      <c r="O263" s="41"/>
      <c r="P263" s="43"/>
      <c r="Q263" s="43"/>
      <c r="R263" s="44"/>
      <c r="Y263" s="7"/>
      <c r="Z263" s="9"/>
      <c r="AA263" s="7"/>
      <c r="AB263" s="7"/>
      <c r="AC263" s="7"/>
    </row>
    <row r="264" spans="1:29" x14ac:dyDescent="0.25">
      <c r="G264" s="42"/>
      <c r="N264" s="43"/>
      <c r="O264" s="41"/>
      <c r="P264" s="43"/>
      <c r="Q264" s="43"/>
      <c r="R264" s="44"/>
      <c r="Y264" s="7"/>
      <c r="Z264" s="9"/>
      <c r="AA264" s="7"/>
      <c r="AB264" s="7"/>
      <c r="AC264" s="7"/>
    </row>
    <row r="265" spans="1:29" x14ac:dyDescent="0.25">
      <c r="A265" s="66" t="s">
        <v>81</v>
      </c>
      <c r="B265" s="66"/>
      <c r="C265" s="66"/>
      <c r="D265" s="66"/>
      <c r="E265" s="66"/>
      <c r="F265" s="66"/>
      <c r="G265" s="42"/>
      <c r="N265" s="43"/>
      <c r="O265" s="41"/>
      <c r="P265" s="43"/>
      <c r="Q265" s="43"/>
      <c r="R265" s="44"/>
      <c r="Y265" s="7"/>
      <c r="Z265" s="9"/>
      <c r="AA265" s="7"/>
      <c r="AB265" s="7"/>
      <c r="AC265" s="7"/>
    </row>
    <row r="266" spans="1:29" x14ac:dyDescent="0.25">
      <c r="A266" s="66"/>
      <c r="B266" s="66"/>
      <c r="C266" s="66"/>
      <c r="D266" s="66"/>
      <c r="E266" s="66"/>
      <c r="F266" s="66"/>
      <c r="G266" s="42"/>
      <c r="N266" s="43"/>
      <c r="O266" s="41"/>
      <c r="P266" s="43"/>
      <c r="Q266" s="43"/>
      <c r="R266" s="44"/>
      <c r="Y266" s="7"/>
      <c r="Z266" s="9"/>
      <c r="AA266" s="7"/>
      <c r="AB266" s="7"/>
      <c r="AC266" s="7"/>
    </row>
    <row r="267" spans="1:29" x14ac:dyDescent="0.25">
      <c r="A267" s="66" t="s">
        <v>0</v>
      </c>
      <c r="B267" s="66"/>
      <c r="C267" s="66"/>
      <c r="D267" s="66"/>
      <c r="E267" s="66"/>
      <c r="F267" s="66"/>
      <c r="G267" s="42"/>
      <c r="N267" s="43"/>
      <c r="O267" s="41"/>
      <c r="P267" s="43"/>
      <c r="Q267" s="43"/>
      <c r="R267" s="44"/>
      <c r="Y267" s="7"/>
      <c r="Z267" s="9"/>
      <c r="AA267" s="7"/>
      <c r="AB267" s="7"/>
      <c r="AC267" s="7"/>
    </row>
    <row r="268" spans="1:29" x14ac:dyDescent="0.25">
      <c r="A268" s="66"/>
      <c r="B268" s="66"/>
      <c r="C268" s="66"/>
      <c r="D268" s="66"/>
      <c r="E268" s="66"/>
      <c r="F268" s="66"/>
      <c r="G268" s="42"/>
      <c r="N268" s="43"/>
      <c r="O268" s="41"/>
      <c r="P268" s="43"/>
      <c r="Q268" s="43"/>
      <c r="R268" s="44"/>
      <c r="Y268" s="7"/>
      <c r="Z268" s="9"/>
      <c r="AA268" s="7"/>
      <c r="AB268" s="7"/>
      <c r="AC268" s="7"/>
    </row>
    <row r="269" spans="1:29" x14ac:dyDescent="0.25">
      <c r="G269" s="42"/>
      <c r="N269" s="43"/>
      <c r="O269" s="41"/>
      <c r="P269" s="43"/>
      <c r="Q269" s="43"/>
      <c r="R269" s="44"/>
      <c r="Y269" s="7"/>
      <c r="Z269" s="10"/>
      <c r="AA269" s="7"/>
      <c r="AB269" s="7"/>
      <c r="AC269" s="7"/>
    </row>
    <row r="270" spans="1:29" x14ac:dyDescent="0.25">
      <c r="A270" s="61" t="s">
        <v>132</v>
      </c>
      <c r="B270" s="61"/>
      <c r="C270" s="61"/>
      <c r="D270" s="61"/>
      <c r="E270" s="61"/>
      <c r="F270" s="61"/>
      <c r="G270" s="42"/>
      <c r="N270" s="43"/>
      <c r="O270" s="41"/>
      <c r="P270" s="43"/>
      <c r="Q270" s="43"/>
      <c r="R270" s="44"/>
      <c r="Y270" s="7"/>
      <c r="Z270" s="9"/>
      <c r="AA270" s="7"/>
      <c r="AB270" s="7"/>
      <c r="AC270" s="7"/>
    </row>
    <row r="271" spans="1:29" x14ac:dyDescent="0.25">
      <c r="G271" s="42"/>
      <c r="M271" s="29"/>
      <c r="N271" s="29"/>
      <c r="O271" s="29"/>
      <c r="S271" s="12"/>
      <c r="T271" s="12"/>
      <c r="U271" s="12"/>
      <c r="V271" s="12"/>
      <c r="W271" s="12"/>
      <c r="X271" s="12"/>
      <c r="Y271" s="12"/>
      <c r="Z271" s="12"/>
    </row>
    <row r="272" spans="1:29" x14ac:dyDescent="0.25">
      <c r="C272" s="1" t="s">
        <v>1</v>
      </c>
      <c r="E272" s="61" t="s">
        <v>133</v>
      </c>
      <c r="F272" s="61"/>
      <c r="G272" s="42"/>
      <c r="O272" s="41"/>
      <c r="Z272" s="10"/>
    </row>
    <row r="273" spans="1:26" x14ac:dyDescent="0.25">
      <c r="A273" s="61" t="s">
        <v>25</v>
      </c>
      <c r="B273" s="61"/>
      <c r="C273" s="61" t="s">
        <v>52</v>
      </c>
      <c r="D273" s="61"/>
      <c r="E273" s="61"/>
      <c r="F273" s="61"/>
      <c r="G273" s="42"/>
      <c r="O273" s="41"/>
      <c r="Z273" s="10"/>
    </row>
    <row r="274" spans="1:26" x14ac:dyDescent="0.25">
      <c r="A274" s="61" t="s">
        <v>44</v>
      </c>
      <c r="B274" s="61"/>
      <c r="C274" s="61" t="s">
        <v>53</v>
      </c>
      <c r="D274" s="61"/>
      <c r="E274" s="61"/>
      <c r="F274" s="61"/>
      <c r="G274" s="42"/>
      <c r="O274" s="41"/>
      <c r="Z274" s="10"/>
    </row>
    <row r="275" spans="1:26" x14ac:dyDescent="0.25">
      <c r="A275" s="13"/>
      <c r="B275" s="13"/>
      <c r="C275" s="13"/>
      <c r="D275" s="13"/>
      <c r="E275" s="13"/>
      <c r="G275" s="42"/>
      <c r="O275" s="41"/>
      <c r="Z275" s="10"/>
    </row>
    <row r="276" spans="1:26" x14ac:dyDescent="0.25">
      <c r="A276" s="13"/>
      <c r="B276" s="13"/>
      <c r="C276" s="13"/>
      <c r="D276" s="13"/>
      <c r="E276" s="13"/>
      <c r="G276" s="42"/>
      <c r="O276" s="41"/>
      <c r="Z276" s="10"/>
    </row>
    <row r="277" spans="1:26" x14ac:dyDescent="0.25">
      <c r="A277" s="13"/>
      <c r="B277" s="13"/>
      <c r="C277" s="13"/>
      <c r="D277" s="13"/>
      <c r="E277" s="13"/>
      <c r="G277" s="42"/>
      <c r="O277" s="41"/>
      <c r="Z277" s="10"/>
    </row>
    <row r="278" spans="1:26" ht="45" x14ac:dyDescent="0.25">
      <c r="A278" s="5" t="s">
        <v>27</v>
      </c>
      <c r="B278" s="5" t="s">
        <v>28</v>
      </c>
      <c r="C278" s="5" t="s">
        <v>74</v>
      </c>
      <c r="D278" s="5" t="s">
        <v>75</v>
      </c>
      <c r="E278" s="5" t="s">
        <v>76</v>
      </c>
      <c r="F278" s="22" t="s">
        <v>32</v>
      </c>
      <c r="G278" s="42"/>
      <c r="O278" s="41"/>
      <c r="Z278" s="10"/>
    </row>
    <row r="279" spans="1:26" ht="30" customHeight="1" x14ac:dyDescent="0.25">
      <c r="A279" s="2" t="s">
        <v>64</v>
      </c>
      <c r="B279" s="2">
        <v>33</v>
      </c>
      <c r="C279" s="16">
        <v>50</v>
      </c>
      <c r="D279" s="16">
        <v>82.4</v>
      </c>
      <c r="E279" s="16">
        <v>71.7</v>
      </c>
      <c r="F279" s="21">
        <f t="shared" ref="F279:F281" si="14">(D279-E279)/(E279-C279)*100</f>
        <v>49.308755760368669</v>
      </c>
      <c r="G279" s="42"/>
      <c r="O279" s="41"/>
      <c r="Z279" s="10"/>
    </row>
    <row r="280" spans="1:26" ht="30" customHeight="1" x14ac:dyDescent="0.25">
      <c r="A280" s="2" t="s">
        <v>68</v>
      </c>
      <c r="B280" s="2">
        <v>24</v>
      </c>
      <c r="C280" s="16">
        <v>39.9</v>
      </c>
      <c r="D280" s="16">
        <v>72.099999999999994</v>
      </c>
      <c r="E280" s="16">
        <v>61</v>
      </c>
      <c r="F280" s="21">
        <f t="shared" si="14"/>
        <v>52.606635071090011</v>
      </c>
      <c r="G280" s="42"/>
      <c r="O280" s="41"/>
      <c r="Z280" s="10"/>
    </row>
    <row r="281" spans="1:26" ht="30" customHeight="1" x14ac:dyDescent="0.25">
      <c r="A281" s="2" t="s">
        <v>70</v>
      </c>
      <c r="B281" s="2">
        <v>22</v>
      </c>
      <c r="C281" s="16">
        <v>41.4</v>
      </c>
      <c r="D281" s="16">
        <v>70.7</v>
      </c>
      <c r="E281" s="16">
        <v>60.5</v>
      </c>
      <c r="F281" s="21">
        <f t="shared" si="14"/>
        <v>53.403141361256559</v>
      </c>
      <c r="G281" s="42"/>
      <c r="O281" s="41"/>
      <c r="Z281" s="10"/>
    </row>
    <row r="282" spans="1:26" x14ac:dyDescent="0.25">
      <c r="G282" s="42"/>
      <c r="O282" s="41"/>
      <c r="Z282" s="10"/>
    </row>
    <row r="283" spans="1:26" x14ac:dyDescent="0.25">
      <c r="G283" s="42"/>
      <c r="O283" s="41"/>
      <c r="Z283" s="10"/>
    </row>
    <row r="284" spans="1:26" x14ac:dyDescent="0.25">
      <c r="G284" s="42"/>
      <c r="O284" s="41"/>
      <c r="Z284" s="10"/>
    </row>
    <row r="285" spans="1:26" x14ac:dyDescent="0.25">
      <c r="G285" s="42"/>
      <c r="O285" s="41"/>
    </row>
    <row r="286" spans="1:26" x14ac:dyDescent="0.25">
      <c r="G286" s="42"/>
      <c r="O286" s="41"/>
    </row>
    <row r="287" spans="1:26" x14ac:dyDescent="0.25">
      <c r="G287" s="42"/>
      <c r="O287" s="41"/>
    </row>
    <row r="288" spans="1:26" x14ac:dyDescent="0.25">
      <c r="G288" s="42"/>
      <c r="O288" s="41"/>
    </row>
    <row r="289" spans="2:33" x14ac:dyDescent="0.25">
      <c r="G289" s="42"/>
      <c r="O289" s="41"/>
    </row>
    <row r="290" spans="2:33" x14ac:dyDescent="0.25">
      <c r="G290" s="42"/>
      <c r="O290" s="41"/>
    </row>
    <row r="291" spans="2:33" x14ac:dyDescent="0.25">
      <c r="G291" s="42"/>
      <c r="O291" s="41"/>
    </row>
    <row r="292" spans="2:33" x14ac:dyDescent="0.25">
      <c r="G292" s="42"/>
      <c r="O292" s="41"/>
    </row>
    <row r="293" spans="2:33" x14ac:dyDescent="0.25">
      <c r="G293" s="42"/>
      <c r="O293" s="41"/>
    </row>
    <row r="294" spans="2:33" x14ac:dyDescent="0.25">
      <c r="G294" s="42"/>
      <c r="O294" s="41"/>
    </row>
    <row r="295" spans="2:33" x14ac:dyDescent="0.25">
      <c r="G295" s="42"/>
      <c r="O295" s="41"/>
    </row>
    <row r="296" spans="2:33" x14ac:dyDescent="0.25">
      <c r="G296" s="42"/>
      <c r="O296" s="41"/>
    </row>
    <row r="297" spans="2:33" x14ac:dyDescent="0.25">
      <c r="G297" s="42"/>
      <c r="O297" s="41"/>
    </row>
    <row r="298" spans="2:33" x14ac:dyDescent="0.25">
      <c r="G298" s="42"/>
      <c r="O298" s="41"/>
      <c r="AD298" s="1"/>
      <c r="AE298" s="1"/>
      <c r="AF298" s="1"/>
      <c r="AG298" s="1"/>
    </row>
    <row r="299" spans="2:33" x14ac:dyDescent="0.25">
      <c r="G299" s="42"/>
      <c r="O299" s="41"/>
      <c r="AD299" s="1"/>
      <c r="AE299" s="1"/>
      <c r="AF299" s="1"/>
      <c r="AG299" s="1"/>
    </row>
    <row r="300" spans="2:33" x14ac:dyDescent="0.25">
      <c r="G300" s="42"/>
      <c r="O300" s="41"/>
      <c r="AD300" s="1"/>
      <c r="AE300" s="1"/>
      <c r="AF300" s="1"/>
      <c r="AG300" s="1"/>
    </row>
    <row r="301" spans="2:33" x14ac:dyDescent="0.25">
      <c r="G301" s="42"/>
      <c r="O301" s="41"/>
    </row>
    <row r="302" spans="2:33" x14ac:dyDescent="0.25">
      <c r="B302" s="75" t="s">
        <v>136</v>
      </c>
      <c r="C302" s="76"/>
      <c r="D302" s="75">
        <v>52</v>
      </c>
      <c r="E302" s="76"/>
      <c r="G302" s="42"/>
      <c r="O302" s="41"/>
    </row>
    <row r="303" spans="2:33" x14ac:dyDescent="0.25">
      <c r="B303" s="77"/>
      <c r="C303" s="78"/>
      <c r="D303" s="77"/>
      <c r="E303" s="78"/>
      <c r="G303" s="42"/>
      <c r="N303" s="43"/>
      <c r="O303" s="41"/>
      <c r="P303" s="43"/>
      <c r="Q303" s="43"/>
      <c r="R303" s="44"/>
    </row>
    <row r="304" spans="2:33" x14ac:dyDescent="0.25">
      <c r="C304" s="33"/>
      <c r="D304" s="37"/>
      <c r="E304" s="45">
        <f>D302</f>
        <v>52</v>
      </c>
      <c r="G304" s="42"/>
      <c r="N304" s="43"/>
      <c r="O304" s="41"/>
      <c r="P304" s="43"/>
      <c r="Q304" s="43"/>
      <c r="R304" s="4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C305" s="33"/>
      <c r="D305" s="37">
        <v>10</v>
      </c>
      <c r="E305" s="19">
        <f>(0.8487-0.102*LN(25))*100</f>
        <v>52.037466586344358</v>
      </c>
      <c r="G305" s="42"/>
      <c r="N305" s="43"/>
      <c r="O305" s="41"/>
      <c r="P305" s="43"/>
      <c r="Q305" s="43"/>
      <c r="R305" s="4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C306" s="33"/>
      <c r="D306" s="37">
        <v>25</v>
      </c>
      <c r="E306" s="19">
        <f>(0.8487-0.102*LN(25))*100</f>
        <v>52.037466586344358</v>
      </c>
      <c r="G306" s="42"/>
      <c r="N306" s="43"/>
      <c r="O306" s="41"/>
      <c r="P306" s="43"/>
      <c r="Q306" s="43"/>
      <c r="R306" s="4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C307" s="33"/>
      <c r="D307" s="37">
        <v>25</v>
      </c>
      <c r="E307" s="37">
        <v>0</v>
      </c>
      <c r="G307" s="42"/>
      <c r="N307" s="43"/>
      <c r="O307" s="41"/>
      <c r="P307" s="43"/>
      <c r="Q307" s="43"/>
      <c r="R307" s="44"/>
    </row>
    <row r="308" spans="1:29" x14ac:dyDescent="0.25">
      <c r="G308" s="42"/>
      <c r="N308" s="43"/>
      <c r="O308" s="41"/>
      <c r="P308" s="43"/>
      <c r="Q308" s="43"/>
      <c r="R308" s="44"/>
    </row>
    <row r="309" spans="1:29" x14ac:dyDescent="0.25">
      <c r="A309" s="66" t="s">
        <v>82</v>
      </c>
      <c r="B309" s="66"/>
      <c r="C309" s="66"/>
      <c r="D309" s="66"/>
      <c r="E309" s="66"/>
      <c r="F309" s="66"/>
      <c r="G309" s="42"/>
      <c r="N309" s="43"/>
      <c r="O309" s="41"/>
      <c r="P309" s="43"/>
      <c r="Q309" s="43"/>
      <c r="R309" s="44"/>
    </row>
    <row r="310" spans="1:29" x14ac:dyDescent="0.25">
      <c r="A310" s="66"/>
      <c r="B310" s="66"/>
      <c r="C310" s="66"/>
      <c r="D310" s="66"/>
      <c r="E310" s="66"/>
      <c r="F310" s="66"/>
      <c r="G310" s="42"/>
      <c r="N310" s="43"/>
      <c r="O310" s="41"/>
      <c r="P310" s="43"/>
      <c r="Q310" s="43"/>
      <c r="R310" s="44"/>
    </row>
    <row r="311" spans="1:29" x14ac:dyDescent="0.25">
      <c r="A311" s="66" t="s">
        <v>0</v>
      </c>
      <c r="B311" s="66"/>
      <c r="C311" s="66"/>
      <c r="D311" s="66"/>
      <c r="E311" s="66"/>
      <c r="F311" s="66"/>
      <c r="G311" s="42"/>
      <c r="N311" s="43"/>
      <c r="O311" s="41"/>
      <c r="P311" s="43"/>
      <c r="Q311" s="43"/>
      <c r="R311" s="44"/>
    </row>
    <row r="312" spans="1:29" x14ac:dyDescent="0.25">
      <c r="A312" s="66"/>
      <c r="B312" s="66"/>
      <c r="C312" s="66"/>
      <c r="D312" s="66"/>
      <c r="E312" s="66"/>
      <c r="F312" s="66"/>
      <c r="G312" s="42"/>
      <c r="M312" s="29"/>
      <c r="N312" s="29"/>
      <c r="O312" s="29"/>
    </row>
    <row r="313" spans="1:29" x14ac:dyDescent="0.25">
      <c r="G313" s="42"/>
      <c r="M313" s="29"/>
      <c r="N313" s="29"/>
      <c r="O313" s="29"/>
      <c r="P313" s="29"/>
      <c r="Q313" s="29"/>
    </row>
    <row r="314" spans="1:29" x14ac:dyDescent="0.25">
      <c r="A314" s="61" t="s">
        <v>132</v>
      </c>
      <c r="B314" s="61"/>
      <c r="C314" s="61"/>
      <c r="D314" s="61"/>
      <c r="E314" s="61"/>
      <c r="F314" s="61"/>
      <c r="G314" s="42"/>
      <c r="M314" s="29"/>
      <c r="N314" s="29"/>
      <c r="O314" s="29"/>
      <c r="P314" s="29"/>
      <c r="Q314" s="29"/>
    </row>
    <row r="315" spans="1:29" x14ac:dyDescent="0.25">
      <c r="G315" s="42"/>
      <c r="M315" s="29"/>
      <c r="N315" s="29"/>
      <c r="O315" s="29"/>
      <c r="P315" s="29"/>
      <c r="Q315" s="29"/>
    </row>
    <row r="316" spans="1:29" x14ac:dyDescent="0.25">
      <c r="C316" s="1" t="s">
        <v>1</v>
      </c>
      <c r="E316" s="61" t="s">
        <v>133</v>
      </c>
      <c r="F316" s="61"/>
      <c r="G316" s="42"/>
      <c r="M316" s="29"/>
      <c r="N316" s="29"/>
      <c r="O316" s="29"/>
      <c r="P316" s="29"/>
      <c r="Q316" s="29"/>
    </row>
    <row r="317" spans="1:29" x14ac:dyDescent="0.25">
      <c r="A317" s="61" t="s">
        <v>25</v>
      </c>
      <c r="B317" s="61"/>
      <c r="C317" s="61" t="s">
        <v>52</v>
      </c>
      <c r="D317" s="61"/>
      <c r="E317" s="61"/>
      <c r="F317" s="61"/>
      <c r="G317" s="42"/>
      <c r="M317" s="29"/>
      <c r="N317" s="29"/>
      <c r="O317" s="29"/>
      <c r="P317" s="29"/>
      <c r="Q317" s="29"/>
    </row>
    <row r="318" spans="1:29" x14ac:dyDescent="0.25">
      <c r="A318" s="61" t="s">
        <v>44</v>
      </c>
      <c r="B318" s="61"/>
      <c r="C318" s="61" t="s">
        <v>53</v>
      </c>
      <c r="D318" s="61"/>
      <c r="E318" s="61"/>
      <c r="F318" s="61"/>
      <c r="G318" s="42"/>
      <c r="M318" s="29"/>
      <c r="N318" s="29"/>
      <c r="O318" s="29"/>
      <c r="P318" s="29"/>
      <c r="Q318" s="29"/>
    </row>
    <row r="319" spans="1:29" x14ac:dyDescent="0.25">
      <c r="A319" s="13"/>
      <c r="B319" s="13"/>
      <c r="C319" s="13"/>
      <c r="D319" s="13"/>
      <c r="E319" s="13"/>
      <c r="G319" s="42"/>
      <c r="M319" s="29"/>
      <c r="N319" s="29"/>
      <c r="O319" s="29"/>
      <c r="P319" s="29"/>
      <c r="Q319" s="29"/>
    </row>
    <row r="320" spans="1:29" x14ac:dyDescent="0.25">
      <c r="A320" s="13"/>
      <c r="B320" s="13"/>
      <c r="C320" s="13"/>
      <c r="D320" s="13"/>
      <c r="E320" s="13"/>
      <c r="G320" s="42"/>
      <c r="M320" s="29"/>
      <c r="N320" s="29"/>
      <c r="O320" s="29"/>
      <c r="P320" s="29"/>
      <c r="Q320" s="29"/>
    </row>
    <row r="321" spans="1:17" x14ac:dyDescent="0.25">
      <c r="A321" s="13"/>
      <c r="B321" s="13"/>
      <c r="C321" s="13"/>
      <c r="D321" s="13"/>
      <c r="E321" s="13"/>
      <c r="G321" s="42"/>
      <c r="M321" s="29"/>
      <c r="N321" s="29"/>
      <c r="O321" s="29"/>
      <c r="P321" s="29"/>
      <c r="Q321" s="29"/>
    </row>
    <row r="322" spans="1:17" ht="45" x14ac:dyDescent="0.25">
      <c r="A322" s="5" t="s">
        <v>27</v>
      </c>
      <c r="B322" s="5" t="s">
        <v>28</v>
      </c>
      <c r="C322" s="5" t="s">
        <v>74</v>
      </c>
      <c r="D322" s="5" t="s">
        <v>75</v>
      </c>
      <c r="E322" s="5" t="s">
        <v>76</v>
      </c>
      <c r="F322" s="22" t="s">
        <v>32</v>
      </c>
      <c r="G322" s="42"/>
      <c r="M322" s="29"/>
      <c r="N322" s="29"/>
      <c r="O322" s="29"/>
      <c r="P322" s="29"/>
      <c r="Q322" s="29"/>
    </row>
    <row r="323" spans="1:17" ht="30" customHeight="1" x14ac:dyDescent="0.25">
      <c r="A323" s="2" t="s">
        <v>69</v>
      </c>
      <c r="B323" s="2">
        <v>35</v>
      </c>
      <c r="C323" s="16">
        <v>44.7</v>
      </c>
      <c r="D323" s="16">
        <v>64.2</v>
      </c>
      <c r="E323" s="16">
        <v>57.6</v>
      </c>
      <c r="F323" s="21">
        <f t="shared" ref="F323:F325" si="15">(D323-E323)/(E323-C323)*100</f>
        <v>51.162790697674431</v>
      </c>
      <c r="G323" s="42"/>
      <c r="M323" s="29"/>
      <c r="N323" s="29"/>
      <c r="O323" s="29"/>
      <c r="P323" s="29"/>
      <c r="Q323" s="29"/>
    </row>
    <row r="324" spans="1:17" ht="30" customHeight="1" x14ac:dyDescent="0.25">
      <c r="A324" s="2" t="s">
        <v>37</v>
      </c>
      <c r="B324" s="2">
        <v>22</v>
      </c>
      <c r="C324" s="16">
        <v>46</v>
      </c>
      <c r="D324" s="16">
        <v>67.7</v>
      </c>
      <c r="E324" s="16">
        <v>60.1</v>
      </c>
      <c r="F324" s="21">
        <f t="shared" si="15"/>
        <v>53.900709219858157</v>
      </c>
      <c r="G324" s="42"/>
      <c r="M324" s="29"/>
      <c r="N324" s="29"/>
      <c r="O324" s="29"/>
      <c r="P324" s="29"/>
      <c r="Q324" s="29"/>
    </row>
    <row r="325" spans="1:17" ht="30" customHeight="1" x14ac:dyDescent="0.25">
      <c r="A325" s="2" t="s">
        <v>64</v>
      </c>
      <c r="B325" s="2">
        <v>20</v>
      </c>
      <c r="C325" s="16">
        <v>50.3</v>
      </c>
      <c r="D325" s="16">
        <v>68.7</v>
      </c>
      <c r="E325" s="16">
        <v>62.2</v>
      </c>
      <c r="F325" s="21">
        <f t="shared" si="15"/>
        <v>54.621848739495768</v>
      </c>
      <c r="G325" s="42"/>
      <c r="M325" s="29"/>
      <c r="N325" s="29"/>
      <c r="O325" s="29"/>
      <c r="P325" s="29"/>
      <c r="Q325" s="29"/>
    </row>
    <row r="326" spans="1:17" x14ac:dyDescent="0.25">
      <c r="G326" s="42"/>
      <c r="M326" s="29"/>
      <c r="N326" s="29"/>
      <c r="O326" s="29"/>
      <c r="P326" s="29"/>
      <c r="Q326" s="29"/>
    </row>
    <row r="327" spans="1:17" x14ac:dyDescent="0.25">
      <c r="G327" s="42"/>
      <c r="M327" s="29"/>
      <c r="N327" s="29"/>
      <c r="O327" s="29"/>
      <c r="P327" s="29"/>
      <c r="Q327" s="29"/>
    </row>
    <row r="328" spans="1:17" x14ac:dyDescent="0.25">
      <c r="G328" s="42"/>
      <c r="M328" s="29"/>
      <c r="N328" s="29"/>
      <c r="O328" s="29"/>
      <c r="P328" s="29"/>
      <c r="Q328" s="29"/>
    </row>
    <row r="329" spans="1:17" x14ac:dyDescent="0.25">
      <c r="A329" s="13"/>
      <c r="B329" s="13"/>
      <c r="C329" s="13"/>
      <c r="D329" s="13"/>
      <c r="E329" s="13"/>
      <c r="G329" s="42"/>
      <c r="M329" s="29"/>
      <c r="N329" s="29"/>
      <c r="O329" s="29"/>
      <c r="P329" s="29"/>
      <c r="Q329" s="29"/>
    </row>
    <row r="330" spans="1:17" x14ac:dyDescent="0.25">
      <c r="G330" s="42"/>
      <c r="M330" s="29"/>
      <c r="N330" s="29"/>
      <c r="O330" s="29"/>
      <c r="P330" s="29"/>
      <c r="Q330" s="29"/>
    </row>
    <row r="331" spans="1:17" x14ac:dyDescent="0.25">
      <c r="G331" s="42"/>
      <c r="M331" s="29"/>
      <c r="N331" s="29"/>
      <c r="O331" s="29"/>
      <c r="P331" s="29"/>
      <c r="Q331" s="29"/>
    </row>
    <row r="332" spans="1:17" x14ac:dyDescent="0.25">
      <c r="A332" s="61"/>
      <c r="B332" s="61"/>
      <c r="C332" s="61"/>
      <c r="D332" s="61"/>
      <c r="E332" s="61"/>
      <c r="G332" s="42"/>
      <c r="M332" s="29"/>
      <c r="N332" s="29"/>
      <c r="O332" s="29"/>
      <c r="P332" s="29"/>
      <c r="Q332" s="29"/>
    </row>
    <row r="333" spans="1:17" x14ac:dyDescent="0.25">
      <c r="G333" s="42"/>
      <c r="M333" s="29"/>
      <c r="N333" s="29"/>
      <c r="O333" s="29"/>
      <c r="P333" s="29"/>
      <c r="Q333" s="29"/>
    </row>
    <row r="334" spans="1:17" x14ac:dyDescent="0.25">
      <c r="F334" s="46"/>
      <c r="G334" s="42"/>
      <c r="M334" s="29"/>
      <c r="N334" s="29"/>
      <c r="O334" s="29"/>
      <c r="P334" s="29"/>
      <c r="Q334" s="29"/>
    </row>
    <row r="335" spans="1:17" x14ac:dyDescent="0.25">
      <c r="F335" s="46"/>
      <c r="G335" s="42"/>
      <c r="M335" s="29"/>
      <c r="N335" s="29"/>
      <c r="O335" s="29"/>
      <c r="P335" s="29"/>
      <c r="Q335" s="29"/>
    </row>
    <row r="336" spans="1:17" x14ac:dyDescent="0.25">
      <c r="F336" s="46"/>
      <c r="G336" s="42"/>
      <c r="M336" s="29"/>
      <c r="N336" s="29"/>
      <c r="O336" s="29"/>
      <c r="P336" s="29"/>
      <c r="Q336" s="29"/>
    </row>
    <row r="337" spans="1:29" x14ac:dyDescent="0.25">
      <c r="A337" s="13"/>
      <c r="B337" s="13"/>
      <c r="C337" s="13"/>
      <c r="D337" s="13"/>
      <c r="E337" s="13"/>
      <c r="G337" s="42"/>
      <c r="M337" s="29"/>
      <c r="N337" s="29"/>
      <c r="O337" s="29"/>
      <c r="P337" s="29"/>
      <c r="Q337" s="29"/>
    </row>
    <row r="338" spans="1:29" x14ac:dyDescent="0.25">
      <c r="G338" s="42"/>
      <c r="M338" s="29"/>
      <c r="N338" s="29"/>
      <c r="O338" s="29"/>
      <c r="P338" s="29"/>
      <c r="Q338" s="29"/>
    </row>
    <row r="339" spans="1:29" x14ac:dyDescent="0.25">
      <c r="G339" s="42"/>
      <c r="M339" s="29"/>
      <c r="N339" s="29"/>
      <c r="O339" s="29"/>
      <c r="P339" s="29"/>
      <c r="Q339" s="29"/>
    </row>
    <row r="340" spans="1:29" x14ac:dyDescent="0.25">
      <c r="G340" s="42"/>
      <c r="M340" s="29"/>
      <c r="N340" s="29"/>
      <c r="O340" s="29"/>
      <c r="P340" s="29"/>
      <c r="Q340" s="29"/>
    </row>
    <row r="341" spans="1:29" x14ac:dyDescent="0.25">
      <c r="G341" s="42"/>
      <c r="M341" s="29"/>
      <c r="N341" s="29"/>
      <c r="O341" s="29"/>
      <c r="P341" s="29"/>
      <c r="Q341" s="29"/>
    </row>
    <row r="342" spans="1:29" x14ac:dyDescent="0.25">
      <c r="G342" s="42"/>
      <c r="M342" s="29"/>
      <c r="N342" s="29"/>
      <c r="O342" s="29"/>
      <c r="P342" s="29"/>
      <c r="Q342" s="29"/>
    </row>
    <row r="343" spans="1:29" x14ac:dyDescent="0.25">
      <c r="G343" s="42"/>
      <c r="M343" s="29"/>
      <c r="N343" s="29"/>
      <c r="O343" s="29"/>
      <c r="P343" s="29"/>
      <c r="Q343" s="29"/>
    </row>
    <row r="344" spans="1:29" x14ac:dyDescent="0.25">
      <c r="G344" s="42"/>
      <c r="M344" s="29"/>
      <c r="N344" s="29"/>
      <c r="O344" s="29"/>
      <c r="P344" s="29"/>
      <c r="Q344" s="29"/>
    </row>
    <row r="345" spans="1:29" x14ac:dyDescent="0.25">
      <c r="G345" s="42"/>
      <c r="M345" s="29"/>
      <c r="N345" s="29"/>
      <c r="O345" s="29"/>
      <c r="P345" s="29"/>
      <c r="Q345" s="29"/>
    </row>
    <row r="346" spans="1:29" x14ac:dyDescent="0.25">
      <c r="B346" s="75" t="s">
        <v>136</v>
      </c>
      <c r="C346" s="76"/>
      <c r="D346" s="75">
        <v>53</v>
      </c>
      <c r="E346" s="76"/>
      <c r="G346" s="42"/>
      <c r="M346" s="29"/>
      <c r="N346" s="29"/>
      <c r="O346" s="29"/>
      <c r="P346" s="29"/>
      <c r="Q346" s="29"/>
    </row>
    <row r="347" spans="1:29" x14ac:dyDescent="0.25">
      <c r="B347" s="77"/>
      <c r="C347" s="78"/>
      <c r="D347" s="77"/>
      <c r="E347" s="78"/>
      <c r="G347" s="42"/>
      <c r="M347" s="29"/>
      <c r="N347" s="29"/>
      <c r="O347" s="29"/>
      <c r="P347" s="29"/>
      <c r="Q347" s="29"/>
    </row>
    <row r="348" spans="1:29" x14ac:dyDescent="0.25">
      <c r="C348" s="33"/>
      <c r="D348" s="37"/>
      <c r="E348" s="45">
        <f>D346</f>
        <v>53</v>
      </c>
      <c r="G348" s="42"/>
      <c r="M348" s="29"/>
      <c r="N348" s="29"/>
      <c r="O348" s="29"/>
      <c r="P348" s="29"/>
      <c r="Q348" s="29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C349" s="33"/>
      <c r="D349" s="37">
        <v>10</v>
      </c>
      <c r="E349" s="40">
        <f>(0.728-0.061*LN(25))*100</f>
        <v>53.164857468303971</v>
      </c>
      <c r="G349" s="42"/>
      <c r="M349" s="29"/>
      <c r="N349" s="29"/>
      <c r="O349" s="29"/>
      <c r="P349" s="29"/>
      <c r="Q349" s="29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C350" s="33"/>
      <c r="D350" s="37">
        <v>25</v>
      </c>
      <c r="E350" s="40">
        <f>(0.728-0.061*LN(25))*100</f>
        <v>53.164857468303971</v>
      </c>
      <c r="G350" s="42"/>
      <c r="M350" s="29"/>
      <c r="N350" s="29"/>
      <c r="O350" s="29"/>
      <c r="P350" s="29"/>
      <c r="Q350" s="29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D351" s="37">
        <v>25</v>
      </c>
      <c r="E351" s="37">
        <v>0</v>
      </c>
      <c r="G351" s="42"/>
      <c r="M351" s="29"/>
      <c r="N351" s="29"/>
      <c r="O351" s="29"/>
      <c r="P351" s="29"/>
      <c r="Q351" s="29"/>
    </row>
    <row r="352" spans="1:29" x14ac:dyDescent="0.25">
      <c r="G352" s="42"/>
      <c r="M352" s="29"/>
      <c r="N352" s="29"/>
      <c r="O352" s="29"/>
      <c r="P352" s="29"/>
      <c r="Q352" s="29"/>
    </row>
    <row r="353" spans="7:17" x14ac:dyDescent="0.25">
      <c r="G353" s="42"/>
      <c r="M353" s="29"/>
      <c r="N353" s="29"/>
      <c r="O353" s="29"/>
      <c r="P353" s="29"/>
      <c r="Q353" s="29"/>
    </row>
    <row r="354" spans="7:17" x14ac:dyDescent="0.25">
      <c r="G354" s="42"/>
      <c r="M354" s="29"/>
      <c r="N354" s="29"/>
      <c r="O354" s="29"/>
      <c r="P354" s="29"/>
      <c r="Q354" s="29"/>
    </row>
    <row r="355" spans="7:17" x14ac:dyDescent="0.25">
      <c r="G355" s="42"/>
      <c r="M355" s="29"/>
      <c r="N355" s="29"/>
      <c r="O355" s="29"/>
      <c r="P355" s="29"/>
      <c r="Q355" s="29"/>
    </row>
    <row r="356" spans="7:17" x14ac:dyDescent="0.25">
      <c r="G356" s="42"/>
      <c r="M356" s="29"/>
      <c r="N356" s="29"/>
      <c r="O356" s="29"/>
      <c r="P356" s="29"/>
      <c r="Q356" s="29"/>
    </row>
    <row r="357" spans="7:17" x14ac:dyDescent="0.25">
      <c r="G357" s="42"/>
      <c r="M357" s="29"/>
      <c r="N357" s="29"/>
      <c r="O357" s="29"/>
      <c r="P357" s="29"/>
      <c r="Q357" s="29"/>
    </row>
    <row r="358" spans="7:17" x14ac:dyDescent="0.25">
      <c r="G358" s="42"/>
      <c r="M358" s="29"/>
      <c r="N358" s="29"/>
      <c r="O358" s="29"/>
      <c r="P358" s="29"/>
      <c r="Q358" s="29"/>
    </row>
    <row r="359" spans="7:17" x14ac:dyDescent="0.25">
      <c r="G359" s="42"/>
      <c r="M359" s="29"/>
      <c r="N359" s="29"/>
      <c r="O359" s="29"/>
      <c r="P359" s="29"/>
      <c r="Q359" s="29"/>
    </row>
    <row r="360" spans="7:17" x14ac:dyDescent="0.25">
      <c r="G360" s="42"/>
      <c r="M360" s="29"/>
      <c r="N360" s="29"/>
      <c r="O360" s="29"/>
      <c r="P360" s="29"/>
      <c r="Q360" s="29"/>
    </row>
    <row r="361" spans="7:17" x14ac:dyDescent="0.25">
      <c r="G361" s="42"/>
      <c r="M361" s="29"/>
      <c r="N361" s="29"/>
      <c r="O361" s="29"/>
      <c r="P361" s="29"/>
      <c r="Q361" s="29"/>
    </row>
    <row r="362" spans="7:17" x14ac:dyDescent="0.25">
      <c r="G362" s="42"/>
      <c r="M362" s="29"/>
      <c r="N362" s="29"/>
      <c r="O362" s="29"/>
      <c r="P362" s="29"/>
      <c r="Q362" s="29"/>
    </row>
    <row r="363" spans="7:17" x14ac:dyDescent="0.25">
      <c r="G363" s="42"/>
      <c r="M363" s="29"/>
      <c r="N363" s="29"/>
      <c r="O363" s="29"/>
      <c r="P363" s="29"/>
      <c r="Q363" s="29"/>
    </row>
    <row r="364" spans="7:17" x14ac:dyDescent="0.25">
      <c r="G364" s="42"/>
      <c r="M364" s="29"/>
      <c r="N364" s="29"/>
      <c r="O364" s="29"/>
      <c r="P364" s="29"/>
      <c r="Q364" s="29"/>
    </row>
    <row r="365" spans="7:17" x14ac:dyDescent="0.25">
      <c r="G365" s="42"/>
      <c r="M365" s="29"/>
      <c r="N365" s="29"/>
      <c r="O365" s="29"/>
      <c r="P365" s="29"/>
      <c r="Q365" s="29"/>
    </row>
    <row r="366" spans="7:17" x14ac:dyDescent="0.25">
      <c r="G366" s="42"/>
      <c r="M366" s="29"/>
      <c r="N366" s="29"/>
      <c r="O366" s="29"/>
      <c r="P366" s="29"/>
      <c r="Q366" s="29"/>
    </row>
    <row r="367" spans="7:17" ht="30" customHeight="1" x14ac:dyDescent="0.25">
      <c r="G367" s="42"/>
      <c r="M367" s="29"/>
      <c r="N367" s="29"/>
      <c r="O367" s="29"/>
      <c r="P367" s="29"/>
      <c r="Q367" s="29"/>
    </row>
    <row r="368" spans="7:17" ht="30" customHeight="1" x14ac:dyDescent="0.25">
      <c r="G368" s="42"/>
      <c r="M368" s="29"/>
      <c r="N368" s="29"/>
      <c r="O368" s="29"/>
      <c r="P368" s="29"/>
      <c r="Q368" s="29"/>
    </row>
    <row r="369" spans="7:17" ht="30" customHeight="1" x14ac:dyDescent="0.25">
      <c r="G369" s="42"/>
      <c r="M369" s="29"/>
      <c r="N369" s="29"/>
      <c r="O369" s="29"/>
      <c r="P369" s="29"/>
      <c r="Q369" s="29"/>
    </row>
    <row r="370" spans="7:17" x14ac:dyDescent="0.25">
      <c r="G370" s="42"/>
      <c r="M370" s="29"/>
      <c r="N370" s="29"/>
      <c r="O370" s="29"/>
      <c r="P370" s="29"/>
      <c r="Q370" s="29"/>
    </row>
    <row r="371" spans="7:17" x14ac:dyDescent="0.25">
      <c r="G371" s="42"/>
      <c r="M371" s="29"/>
      <c r="N371" s="29"/>
      <c r="O371" s="29"/>
      <c r="P371" s="29"/>
      <c r="Q371" s="29"/>
    </row>
    <row r="372" spans="7:17" x14ac:dyDescent="0.25">
      <c r="G372" s="42"/>
      <c r="M372" s="29"/>
      <c r="N372" s="29"/>
      <c r="O372" s="29"/>
      <c r="P372" s="29"/>
      <c r="Q372" s="29"/>
    </row>
    <row r="373" spans="7:17" x14ac:dyDescent="0.25">
      <c r="G373" s="42"/>
      <c r="M373" s="29"/>
      <c r="N373" s="29"/>
      <c r="O373" s="29"/>
      <c r="P373" s="29"/>
      <c r="Q373" s="29"/>
    </row>
    <row r="374" spans="7:17" x14ac:dyDescent="0.25">
      <c r="G374" s="42"/>
      <c r="M374" s="29"/>
      <c r="N374" s="29"/>
      <c r="O374" s="29"/>
      <c r="P374" s="29"/>
      <c r="Q374" s="29"/>
    </row>
    <row r="375" spans="7:17" x14ac:dyDescent="0.25">
      <c r="G375" s="42"/>
      <c r="M375" s="29"/>
      <c r="N375" s="29"/>
      <c r="O375" s="29"/>
      <c r="P375" s="29"/>
      <c r="Q375" s="29"/>
    </row>
    <row r="376" spans="7:17" x14ac:dyDescent="0.25">
      <c r="G376" s="42"/>
      <c r="M376" s="29"/>
      <c r="N376" s="29"/>
      <c r="O376" s="29"/>
      <c r="P376" s="29"/>
      <c r="Q376" s="29"/>
    </row>
    <row r="377" spans="7:17" x14ac:dyDescent="0.25">
      <c r="G377" s="42"/>
      <c r="M377" s="29"/>
      <c r="N377" s="29"/>
      <c r="O377" s="29"/>
      <c r="P377" s="29"/>
      <c r="Q377" s="29"/>
    </row>
    <row r="378" spans="7:17" x14ac:dyDescent="0.25">
      <c r="G378" s="42"/>
      <c r="M378" s="29"/>
      <c r="N378" s="29"/>
      <c r="O378" s="29"/>
      <c r="P378" s="29"/>
      <c r="Q378" s="29"/>
    </row>
    <row r="379" spans="7:17" x14ac:dyDescent="0.25">
      <c r="G379" s="42"/>
      <c r="M379" s="29"/>
      <c r="N379" s="29"/>
      <c r="O379" s="29"/>
      <c r="P379" s="29"/>
      <c r="Q379" s="29"/>
    </row>
    <row r="380" spans="7:17" x14ac:dyDescent="0.25">
      <c r="G380" s="42"/>
      <c r="M380" s="29"/>
      <c r="N380" s="29"/>
      <c r="O380" s="29"/>
      <c r="P380" s="29"/>
      <c r="Q380" s="29"/>
    </row>
    <row r="381" spans="7:17" x14ac:dyDescent="0.25">
      <c r="G381" s="42"/>
      <c r="M381" s="29"/>
      <c r="N381" s="29"/>
      <c r="O381" s="29"/>
      <c r="P381" s="29"/>
      <c r="Q381" s="29"/>
    </row>
    <row r="382" spans="7:17" x14ac:dyDescent="0.25">
      <c r="G382" s="42"/>
      <c r="M382" s="29"/>
      <c r="N382" s="29"/>
      <c r="O382" s="29"/>
      <c r="P382" s="29"/>
      <c r="Q382" s="29"/>
    </row>
    <row r="383" spans="7:17" x14ac:dyDescent="0.25">
      <c r="G383" s="42"/>
      <c r="M383" s="29"/>
      <c r="N383" s="29"/>
      <c r="O383" s="29"/>
      <c r="P383" s="29"/>
      <c r="Q383" s="29"/>
    </row>
    <row r="384" spans="7:17" x14ac:dyDescent="0.25">
      <c r="M384" s="29"/>
      <c r="N384" s="29"/>
      <c r="O384" s="29"/>
      <c r="P384" s="29"/>
      <c r="Q384" s="29"/>
    </row>
    <row r="385" spans="13:17" x14ac:dyDescent="0.25">
      <c r="M385" s="29"/>
      <c r="N385" s="29"/>
      <c r="O385" s="29"/>
      <c r="P385" s="29"/>
      <c r="Q385" s="29"/>
    </row>
    <row r="386" spans="13:17" x14ac:dyDescent="0.25">
      <c r="M386" s="29"/>
      <c r="N386" s="29"/>
      <c r="O386" s="29"/>
      <c r="P386" s="29"/>
      <c r="Q386" s="29"/>
    </row>
    <row r="387" spans="13:17" x14ac:dyDescent="0.25">
      <c r="M387" s="29"/>
      <c r="N387" s="29"/>
      <c r="O387" s="29"/>
      <c r="P387" s="29"/>
      <c r="Q387" s="29"/>
    </row>
    <row r="388" spans="13:17" x14ac:dyDescent="0.25">
      <c r="M388" s="29"/>
      <c r="N388" s="29"/>
      <c r="O388" s="29"/>
      <c r="P388" s="29"/>
      <c r="Q388" s="29"/>
    </row>
    <row r="389" spans="13:17" x14ac:dyDescent="0.25">
      <c r="M389" s="29"/>
      <c r="N389" s="29"/>
      <c r="O389" s="29"/>
      <c r="P389" s="29"/>
      <c r="Q389" s="29"/>
    </row>
    <row r="390" spans="13:17" x14ac:dyDescent="0.25">
      <c r="M390" s="29"/>
      <c r="N390" s="29"/>
      <c r="O390" s="29"/>
      <c r="P390" s="29"/>
      <c r="Q390" s="29"/>
    </row>
    <row r="391" spans="13:17" x14ac:dyDescent="0.25">
      <c r="M391" s="29"/>
      <c r="N391" s="29"/>
      <c r="O391" s="29"/>
      <c r="P391" s="29"/>
      <c r="Q391" s="29"/>
    </row>
    <row r="392" spans="13:17" x14ac:dyDescent="0.25">
      <c r="M392" s="29"/>
      <c r="N392" s="29"/>
      <c r="O392" s="29"/>
      <c r="P392" s="29"/>
      <c r="Q392" s="29"/>
    </row>
    <row r="393" spans="13:17" x14ac:dyDescent="0.25">
      <c r="M393" s="29"/>
      <c r="N393" s="29"/>
      <c r="O393" s="29"/>
      <c r="P393" s="29"/>
      <c r="Q393" s="29"/>
    </row>
    <row r="394" spans="13:17" x14ac:dyDescent="0.25">
      <c r="M394" s="29"/>
      <c r="N394" s="29"/>
      <c r="O394" s="29"/>
      <c r="P394" s="29"/>
      <c r="Q394" s="29"/>
    </row>
    <row r="395" spans="13:17" x14ac:dyDescent="0.25">
      <c r="M395" s="29"/>
      <c r="N395" s="29"/>
      <c r="O395" s="29"/>
      <c r="P395" s="29"/>
      <c r="Q395" s="29"/>
    </row>
    <row r="396" spans="13:17" x14ac:dyDescent="0.25">
      <c r="M396" s="29"/>
      <c r="N396" s="29"/>
      <c r="O396" s="29"/>
      <c r="P396" s="29"/>
      <c r="Q396" s="29"/>
    </row>
    <row r="397" spans="13:17" x14ac:dyDescent="0.25">
      <c r="M397" s="29"/>
      <c r="N397" s="29"/>
      <c r="O397" s="29"/>
      <c r="P397" s="29"/>
      <c r="Q397" s="29"/>
    </row>
    <row r="398" spans="13:17" x14ac:dyDescent="0.25">
      <c r="M398" s="29"/>
      <c r="N398" s="29"/>
      <c r="O398" s="29"/>
      <c r="P398" s="29"/>
      <c r="Q398" s="29"/>
    </row>
    <row r="437" spans="7:10" x14ac:dyDescent="0.25">
      <c r="G437" s="13"/>
    </row>
    <row r="438" spans="7:10" x14ac:dyDescent="0.25">
      <c r="G438" s="42"/>
    </row>
    <row r="439" spans="7:10" x14ac:dyDescent="0.25">
      <c r="G439" s="42"/>
    </row>
    <row r="440" spans="7:10" x14ac:dyDescent="0.25">
      <c r="G440" s="42"/>
    </row>
    <row r="441" spans="7:10" x14ac:dyDescent="0.25">
      <c r="G441" s="42"/>
      <c r="H441" s="47"/>
      <c r="I441" s="47"/>
      <c r="J441" s="47"/>
    </row>
    <row r="442" spans="7:10" x14ac:dyDescent="0.25">
      <c r="G442" s="42"/>
      <c r="H442" s="47"/>
      <c r="I442" s="47"/>
      <c r="J442" s="47"/>
    </row>
    <row r="443" spans="7:10" x14ac:dyDescent="0.25">
      <c r="G443" s="42"/>
      <c r="H443" s="47"/>
      <c r="I443" s="47"/>
      <c r="J443" s="47"/>
    </row>
    <row r="444" spans="7:10" x14ac:dyDescent="0.25">
      <c r="G444" s="13"/>
    </row>
    <row r="445" spans="7:10" x14ac:dyDescent="0.25">
      <c r="G445" s="42"/>
    </row>
    <row r="446" spans="7:10" x14ac:dyDescent="0.25">
      <c r="G446" s="42"/>
    </row>
    <row r="447" spans="7:10" x14ac:dyDescent="0.25">
      <c r="G447" s="42"/>
    </row>
    <row r="448" spans="7:10" x14ac:dyDescent="0.25">
      <c r="G448" s="42"/>
    </row>
    <row r="449" spans="7:7" x14ac:dyDescent="0.25">
      <c r="G449" s="42"/>
    </row>
    <row r="450" spans="7:7" x14ac:dyDescent="0.25">
      <c r="G450" s="42"/>
    </row>
    <row r="451" spans="7:7" x14ac:dyDescent="0.25">
      <c r="G451" s="13"/>
    </row>
    <row r="452" spans="7:7" x14ac:dyDescent="0.25">
      <c r="G452" s="42"/>
    </row>
    <row r="453" spans="7:7" x14ac:dyDescent="0.25">
      <c r="G453" s="42"/>
    </row>
    <row r="454" spans="7:7" x14ac:dyDescent="0.25">
      <c r="G454" s="42"/>
    </row>
    <row r="455" spans="7:7" x14ac:dyDescent="0.25">
      <c r="G455" s="42"/>
    </row>
    <row r="456" spans="7:7" x14ac:dyDescent="0.25">
      <c r="G456" s="42"/>
    </row>
    <row r="457" spans="7:7" x14ac:dyDescent="0.25">
      <c r="G457" s="42"/>
    </row>
    <row r="458" spans="7:7" x14ac:dyDescent="0.25">
      <c r="G458" s="42"/>
    </row>
    <row r="459" spans="7:7" x14ac:dyDescent="0.25">
      <c r="G459" s="13"/>
    </row>
    <row r="460" spans="7:7" x14ac:dyDescent="0.25">
      <c r="G460" s="42"/>
    </row>
    <row r="461" spans="7:7" x14ac:dyDescent="0.25">
      <c r="G461" s="42"/>
    </row>
    <row r="462" spans="7:7" x14ac:dyDescent="0.25">
      <c r="G462" s="42"/>
    </row>
    <row r="463" spans="7:7" x14ac:dyDescent="0.25">
      <c r="G463" s="42"/>
    </row>
    <row r="507" spans="19:20" x14ac:dyDescent="0.25">
      <c r="S507" s="7"/>
      <c r="T507" s="7"/>
    </row>
    <row r="508" spans="19:20" x14ac:dyDescent="0.25">
      <c r="S508" s="7"/>
      <c r="T508" s="7"/>
    </row>
    <row r="509" spans="19:20" x14ac:dyDescent="0.25">
      <c r="S509" s="7"/>
      <c r="T509" s="7"/>
    </row>
    <row r="510" spans="19:20" x14ac:dyDescent="0.25">
      <c r="S510" s="7"/>
      <c r="T510" s="7"/>
    </row>
    <row r="511" spans="19:20" x14ac:dyDescent="0.25">
      <c r="S511" s="7"/>
      <c r="T511" s="7"/>
    </row>
    <row r="512" spans="19:20" x14ac:dyDescent="0.25">
      <c r="S512" s="7"/>
      <c r="T512" s="7"/>
    </row>
    <row r="513" spans="19:20" x14ac:dyDescent="0.25">
      <c r="S513" s="7"/>
      <c r="T513" s="7"/>
    </row>
    <row r="514" spans="19:20" x14ac:dyDescent="0.25">
      <c r="S514" s="7"/>
      <c r="T514" s="7"/>
    </row>
    <row r="515" spans="19:20" x14ac:dyDescent="0.25">
      <c r="S515" s="7"/>
      <c r="T515" s="7"/>
    </row>
    <row r="516" spans="19:20" x14ac:dyDescent="0.25">
      <c r="S516" s="7"/>
      <c r="T516" s="7"/>
    </row>
    <row r="517" spans="19:20" x14ac:dyDescent="0.25">
      <c r="S517" s="7"/>
      <c r="T517" s="7"/>
    </row>
    <row r="518" spans="19:20" x14ac:dyDescent="0.25">
      <c r="S518" s="7"/>
      <c r="T518" s="7"/>
    </row>
    <row r="519" spans="19:20" x14ac:dyDescent="0.25">
      <c r="S519" s="7"/>
      <c r="T519" s="7"/>
    </row>
    <row r="520" spans="19:20" x14ac:dyDescent="0.25">
      <c r="S520" s="7"/>
      <c r="T520" s="7"/>
    </row>
    <row r="521" spans="19:20" x14ac:dyDescent="0.25">
      <c r="S521" s="7"/>
      <c r="T521" s="7"/>
    </row>
    <row r="522" spans="19:20" x14ac:dyDescent="0.25">
      <c r="S522" s="7"/>
      <c r="T522" s="7"/>
    </row>
    <row r="523" spans="19:20" x14ac:dyDescent="0.25">
      <c r="S523" s="7"/>
      <c r="T523" s="7"/>
    </row>
    <row r="524" spans="19:20" x14ac:dyDescent="0.25">
      <c r="S524" s="7"/>
      <c r="T524" s="7"/>
    </row>
    <row r="525" spans="19:20" x14ac:dyDescent="0.25">
      <c r="S525" s="7"/>
      <c r="T525" s="7"/>
    </row>
    <row r="526" spans="19:20" x14ac:dyDescent="0.25">
      <c r="S526" s="7"/>
      <c r="T526" s="7"/>
    </row>
    <row r="527" spans="19:20" x14ac:dyDescent="0.25">
      <c r="S527" s="7"/>
      <c r="T527" s="7"/>
    </row>
    <row r="528" spans="19:20" x14ac:dyDescent="0.25">
      <c r="S528" s="7"/>
      <c r="T528" s="7"/>
    </row>
    <row r="529" spans="19:20" x14ac:dyDescent="0.25">
      <c r="S529" s="7"/>
      <c r="T529" s="7"/>
    </row>
    <row r="530" spans="19:20" x14ac:dyDescent="0.25">
      <c r="S530" s="7"/>
      <c r="T530" s="7"/>
    </row>
    <row r="531" spans="19:20" x14ac:dyDescent="0.25">
      <c r="S531" s="7"/>
      <c r="T531" s="7"/>
    </row>
    <row r="532" spans="19:20" x14ac:dyDescent="0.25">
      <c r="S532" s="7"/>
      <c r="T532" s="7"/>
    </row>
    <row r="533" spans="19:20" x14ac:dyDescent="0.25">
      <c r="S533" s="7"/>
      <c r="T533" s="7"/>
    </row>
    <row r="534" spans="19:20" x14ac:dyDescent="0.25">
      <c r="S534" s="7"/>
      <c r="T534" s="7"/>
    </row>
    <row r="535" spans="19:20" x14ac:dyDescent="0.25">
      <c r="S535" s="7"/>
      <c r="T535" s="7"/>
    </row>
    <row r="536" spans="19:20" x14ac:dyDescent="0.25">
      <c r="S536" s="7"/>
      <c r="T536" s="7"/>
    </row>
    <row r="537" spans="19:20" x14ac:dyDescent="0.25">
      <c r="S537" s="7"/>
      <c r="T537" s="7"/>
    </row>
    <row r="538" spans="19:20" x14ac:dyDescent="0.25">
      <c r="S538" s="7"/>
      <c r="T538" s="7"/>
    </row>
    <row r="539" spans="19:20" x14ac:dyDescent="0.25">
      <c r="S539" s="7"/>
      <c r="T539" s="7"/>
    </row>
    <row r="540" spans="19:20" x14ac:dyDescent="0.25">
      <c r="S540" s="7"/>
      <c r="T540" s="7"/>
    </row>
    <row r="541" spans="19:20" x14ac:dyDescent="0.25">
      <c r="S541" s="7"/>
      <c r="T541" s="7"/>
    </row>
    <row r="542" spans="19:20" x14ac:dyDescent="0.25">
      <c r="S542" s="7"/>
      <c r="T542" s="7"/>
    </row>
    <row r="543" spans="19:20" x14ac:dyDescent="0.25">
      <c r="S543" s="7"/>
      <c r="T543" s="7"/>
    </row>
    <row r="544" spans="19:20" x14ac:dyDescent="0.25">
      <c r="S544" s="7"/>
      <c r="T544" s="7"/>
    </row>
    <row r="545" spans="19:20" x14ac:dyDescent="0.25">
      <c r="S545" s="7"/>
      <c r="T545" s="7"/>
    </row>
    <row r="546" spans="19:20" x14ac:dyDescent="0.25">
      <c r="S546" s="7"/>
      <c r="T546" s="7"/>
    </row>
    <row r="547" spans="19:20" x14ac:dyDescent="0.25">
      <c r="S547" s="7"/>
      <c r="T547" s="7"/>
    </row>
    <row r="548" spans="19:20" x14ac:dyDescent="0.25">
      <c r="S548" s="7"/>
      <c r="T548" s="7"/>
    </row>
    <row r="549" spans="19:20" x14ac:dyDescent="0.25">
      <c r="S549" s="7"/>
      <c r="T549" s="7"/>
    </row>
    <row r="550" spans="19:20" x14ac:dyDescent="0.25">
      <c r="S550" s="7"/>
      <c r="T550" s="7"/>
    </row>
    <row r="551" spans="19:20" x14ac:dyDescent="0.25">
      <c r="S551" s="7"/>
      <c r="T551" s="7"/>
    </row>
    <row r="552" spans="19:20" x14ac:dyDescent="0.25">
      <c r="S552" s="7"/>
      <c r="T552" s="7"/>
    </row>
    <row r="553" spans="19:20" x14ac:dyDescent="0.25">
      <c r="S553" s="7"/>
      <c r="T553" s="7"/>
    </row>
    <row r="554" spans="19:20" x14ac:dyDescent="0.25">
      <c r="S554" s="7"/>
      <c r="T554" s="7"/>
    </row>
    <row r="555" spans="19:20" x14ac:dyDescent="0.25">
      <c r="S555" s="7"/>
      <c r="T555" s="7"/>
    </row>
    <row r="556" spans="19:20" x14ac:dyDescent="0.25">
      <c r="S556" s="7"/>
      <c r="T556" s="7"/>
    </row>
    <row r="557" spans="19:20" x14ac:dyDescent="0.25">
      <c r="S557" s="7"/>
      <c r="T557" s="7"/>
    </row>
    <row r="558" spans="19:20" x14ac:dyDescent="0.25">
      <c r="S558" s="7"/>
      <c r="T558" s="7"/>
    </row>
    <row r="559" spans="19:20" x14ac:dyDescent="0.25">
      <c r="S559" s="7"/>
      <c r="T559" s="7"/>
    </row>
    <row r="588" spans="13:17" x14ac:dyDescent="0.25">
      <c r="M588" s="29"/>
      <c r="N588" s="29"/>
      <c r="O588" s="29"/>
      <c r="P588" s="29"/>
      <c r="Q588" s="29"/>
    </row>
    <row r="595" spans="13:18" x14ac:dyDescent="0.25">
      <c r="M595" s="29"/>
      <c r="N595" s="29"/>
      <c r="O595" s="29"/>
      <c r="P595" s="29"/>
      <c r="Q595" s="29"/>
    </row>
    <row r="602" spans="13:18" x14ac:dyDescent="0.25">
      <c r="M602" s="29"/>
      <c r="N602" s="29"/>
      <c r="O602" s="29"/>
      <c r="P602" s="29"/>
      <c r="Q602" s="29"/>
    </row>
    <row r="607" spans="13:18" x14ac:dyDescent="0.25">
      <c r="R607" s="48"/>
    </row>
    <row r="608" spans="13:18" x14ac:dyDescent="0.25">
      <c r="R608" s="48"/>
    </row>
    <row r="609" spans="13:18" x14ac:dyDescent="0.25">
      <c r="R609" s="48"/>
    </row>
    <row r="610" spans="13:18" x14ac:dyDescent="0.25">
      <c r="M610" s="29"/>
      <c r="N610" s="29"/>
      <c r="O610" s="29"/>
      <c r="P610" s="29"/>
      <c r="Q610" s="29"/>
    </row>
  </sheetData>
  <mergeCells count="190">
    <mergeCell ref="A1:F2"/>
    <mergeCell ref="A3:F4"/>
    <mergeCell ref="A6:F6"/>
    <mergeCell ref="A9:B9"/>
    <mergeCell ref="C9:F9"/>
    <mergeCell ref="A10:B10"/>
    <mergeCell ref="C10:F10"/>
    <mergeCell ref="A332:E332"/>
    <mergeCell ref="A309:F310"/>
    <mergeCell ref="A311:F312"/>
    <mergeCell ref="A314:F314"/>
    <mergeCell ref="A317:B317"/>
    <mergeCell ref="A45:F46"/>
    <mergeCell ref="A47:F48"/>
    <mergeCell ref="A50:F50"/>
    <mergeCell ref="A53:B53"/>
    <mergeCell ref="B38:C39"/>
    <mergeCell ref="D38:E39"/>
    <mergeCell ref="B82:C83"/>
    <mergeCell ref="D82:E83"/>
    <mergeCell ref="A89:F90"/>
    <mergeCell ref="A91:F92"/>
    <mergeCell ref="C53:F53"/>
    <mergeCell ref="A54:B54"/>
    <mergeCell ref="A133:F134"/>
    <mergeCell ref="A135:F136"/>
    <mergeCell ref="A138:F138"/>
    <mergeCell ref="A141:B141"/>
    <mergeCell ref="C141:F141"/>
    <mergeCell ref="A142:B142"/>
    <mergeCell ref="C142:F142"/>
    <mergeCell ref="A94:F94"/>
    <mergeCell ref="A97:B97"/>
    <mergeCell ref="C97:F97"/>
    <mergeCell ref="A98:B98"/>
    <mergeCell ref="C98:F98"/>
    <mergeCell ref="B126:C127"/>
    <mergeCell ref="D126:E127"/>
    <mergeCell ref="E140:F140"/>
    <mergeCell ref="A182:F182"/>
    <mergeCell ref="A185:B185"/>
    <mergeCell ref="C185:F185"/>
    <mergeCell ref="A186:B186"/>
    <mergeCell ref="C186:F186"/>
    <mergeCell ref="B170:C171"/>
    <mergeCell ref="D170:E171"/>
    <mergeCell ref="B346:C347"/>
    <mergeCell ref="D346:E347"/>
    <mergeCell ref="A270:F270"/>
    <mergeCell ref="A273:B273"/>
    <mergeCell ref="C273:F273"/>
    <mergeCell ref="A274:B274"/>
    <mergeCell ref="C274:F274"/>
    <mergeCell ref="B302:C303"/>
    <mergeCell ref="D302:E303"/>
    <mergeCell ref="E184:F184"/>
    <mergeCell ref="E228:F228"/>
    <mergeCell ref="E272:F272"/>
    <mergeCell ref="E316:F316"/>
    <mergeCell ref="G6:L6"/>
    <mergeCell ref="G9:H9"/>
    <mergeCell ref="I9:L9"/>
    <mergeCell ref="G10:H10"/>
    <mergeCell ref="I10:L10"/>
    <mergeCell ref="S247:X247"/>
    <mergeCell ref="C317:F317"/>
    <mergeCell ref="A318:B318"/>
    <mergeCell ref="C318:F318"/>
    <mergeCell ref="A230:B230"/>
    <mergeCell ref="C230:F230"/>
    <mergeCell ref="B258:C259"/>
    <mergeCell ref="D258:E259"/>
    <mergeCell ref="A265:F266"/>
    <mergeCell ref="A267:F268"/>
    <mergeCell ref="B214:C215"/>
    <mergeCell ref="D214:E215"/>
    <mergeCell ref="A221:F222"/>
    <mergeCell ref="A223:F224"/>
    <mergeCell ref="A226:F226"/>
    <mergeCell ref="A229:B229"/>
    <mergeCell ref="C229:F229"/>
    <mergeCell ref="A177:F178"/>
    <mergeCell ref="A179:F180"/>
    <mergeCell ref="G138:L138"/>
    <mergeCell ref="G141:H141"/>
    <mergeCell ref="I141:L141"/>
    <mergeCell ref="G142:H142"/>
    <mergeCell ref="I142:L142"/>
    <mergeCell ref="G94:L94"/>
    <mergeCell ref="G97:H97"/>
    <mergeCell ref="I97:L97"/>
    <mergeCell ref="G98:H98"/>
    <mergeCell ref="I98:L98"/>
    <mergeCell ref="H126:I127"/>
    <mergeCell ref="J126:K127"/>
    <mergeCell ref="K140:L140"/>
    <mergeCell ref="M1:R2"/>
    <mergeCell ref="M3:R4"/>
    <mergeCell ref="M6:R6"/>
    <mergeCell ref="M9:N9"/>
    <mergeCell ref="O9:R9"/>
    <mergeCell ref="M10:N10"/>
    <mergeCell ref="O10:R10"/>
    <mergeCell ref="G133:L134"/>
    <mergeCell ref="G135:L136"/>
    <mergeCell ref="G54:H54"/>
    <mergeCell ref="I54:L54"/>
    <mergeCell ref="H82:I83"/>
    <mergeCell ref="J82:K83"/>
    <mergeCell ref="G89:L90"/>
    <mergeCell ref="G91:L92"/>
    <mergeCell ref="H38:I39"/>
    <mergeCell ref="J38:K39"/>
    <mergeCell ref="G45:L46"/>
    <mergeCell ref="G47:L48"/>
    <mergeCell ref="G50:L50"/>
    <mergeCell ref="G53:H53"/>
    <mergeCell ref="I53:L53"/>
    <mergeCell ref="G1:L2"/>
    <mergeCell ref="G3:L4"/>
    <mergeCell ref="W193:AC193"/>
    <mergeCell ref="M195:R195"/>
    <mergeCell ref="W195:AB195"/>
    <mergeCell ref="M200:R200"/>
    <mergeCell ref="W200:AC200"/>
    <mergeCell ref="W181:AB181"/>
    <mergeCell ref="W186:AC186"/>
    <mergeCell ref="W188:AB188"/>
    <mergeCell ref="M182:R182"/>
    <mergeCell ref="M185:N185"/>
    <mergeCell ref="O185:R185"/>
    <mergeCell ref="M186:N186"/>
    <mergeCell ref="O186:R186"/>
    <mergeCell ref="M133:R134"/>
    <mergeCell ref="M135:R136"/>
    <mergeCell ref="M138:R138"/>
    <mergeCell ref="M141:N141"/>
    <mergeCell ref="O141:R141"/>
    <mergeCell ref="M142:N142"/>
    <mergeCell ref="O142:R142"/>
    <mergeCell ref="M94:R94"/>
    <mergeCell ref="M97:N97"/>
    <mergeCell ref="O97:R97"/>
    <mergeCell ref="M98:N98"/>
    <mergeCell ref="O98:R98"/>
    <mergeCell ref="N126:O127"/>
    <mergeCell ref="P126:Q127"/>
    <mergeCell ref="Q140:R140"/>
    <mergeCell ref="N214:O215"/>
    <mergeCell ref="P214:Q215"/>
    <mergeCell ref="H170:I171"/>
    <mergeCell ref="J170:K171"/>
    <mergeCell ref="N170:O171"/>
    <mergeCell ref="P170:Q171"/>
    <mergeCell ref="M177:R178"/>
    <mergeCell ref="M179:R180"/>
    <mergeCell ref="G177:L178"/>
    <mergeCell ref="G179:L180"/>
    <mergeCell ref="G182:L182"/>
    <mergeCell ref="G185:H185"/>
    <mergeCell ref="I185:L185"/>
    <mergeCell ref="G186:H186"/>
    <mergeCell ref="I186:L186"/>
    <mergeCell ref="H214:I215"/>
    <mergeCell ref="J214:K215"/>
    <mergeCell ref="Q184:R184"/>
    <mergeCell ref="K184:L184"/>
    <mergeCell ref="E52:F52"/>
    <mergeCell ref="E8:F8"/>
    <mergeCell ref="K8:L8"/>
    <mergeCell ref="Q8:R8"/>
    <mergeCell ref="Q52:R52"/>
    <mergeCell ref="K52:L52"/>
    <mergeCell ref="Q96:R96"/>
    <mergeCell ref="K96:L96"/>
    <mergeCell ref="E96:F96"/>
    <mergeCell ref="M54:N54"/>
    <mergeCell ref="O54:R54"/>
    <mergeCell ref="N82:O83"/>
    <mergeCell ref="P82:Q83"/>
    <mergeCell ref="M89:R90"/>
    <mergeCell ref="M91:R92"/>
    <mergeCell ref="N38:O39"/>
    <mergeCell ref="P38:Q39"/>
    <mergeCell ref="M45:R46"/>
    <mergeCell ref="M47:R48"/>
    <mergeCell ref="M50:R50"/>
    <mergeCell ref="M53:N53"/>
    <mergeCell ref="O53:R53"/>
    <mergeCell ref="C54:F54"/>
  </mergeCells>
  <pageMargins left="0.7" right="0.7" top="0.75" bottom="0.75" header="0.3" footer="0.3"/>
  <pageSetup paperSize="9" orientation="portrait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E18E-06B6-4A3F-A91C-D62958EA0C24}">
  <dimension ref="A1:AR385"/>
  <sheetViews>
    <sheetView topLeftCell="A308" zoomScale="55" zoomScaleNormal="55" workbookViewId="0">
      <selection activeCell="S329" sqref="S329"/>
    </sheetView>
  </sheetViews>
  <sheetFormatPr baseColWidth="10" defaultRowHeight="15" x14ac:dyDescent="0.25"/>
  <cols>
    <col min="1" max="1" width="12.7109375" style="33" customWidth="1"/>
    <col min="2" max="3" width="6.7109375" style="33" customWidth="1"/>
    <col min="4" max="6" width="12.7109375" style="51" customWidth="1"/>
    <col min="7" max="7" width="12.7109375" style="29" customWidth="1"/>
    <col min="8" max="8" width="12.7109375" style="33" customWidth="1"/>
    <col min="9" max="10" width="6.7109375" style="33" customWidth="1"/>
    <col min="11" max="13" width="12.7109375" style="33" customWidth="1"/>
    <col min="14" max="14" width="12.7109375" style="29" customWidth="1"/>
    <col min="15" max="15" width="12.7109375" style="33" customWidth="1"/>
    <col min="16" max="17" width="6.7109375" style="33" customWidth="1"/>
    <col min="18" max="20" width="12.7109375" style="33" customWidth="1"/>
    <col min="21" max="21" width="12.7109375" style="29" customWidth="1"/>
    <col min="22" max="25" width="11.42578125" style="1"/>
  </cols>
  <sheetData>
    <row r="1" spans="1:26" ht="15.6" customHeight="1" x14ac:dyDescent="0.25">
      <c r="A1" s="68" t="s">
        <v>101</v>
      </c>
      <c r="B1" s="68"/>
      <c r="C1" s="68"/>
      <c r="D1" s="68"/>
      <c r="E1" s="68"/>
      <c r="F1" s="68"/>
      <c r="G1" s="68"/>
      <c r="H1" s="68" t="s">
        <v>115</v>
      </c>
      <c r="I1" s="68"/>
      <c r="J1" s="68"/>
      <c r="K1" s="68"/>
      <c r="L1" s="68"/>
      <c r="M1" s="68"/>
      <c r="N1" s="68"/>
      <c r="O1" s="68" t="s">
        <v>127</v>
      </c>
      <c r="P1" s="68"/>
      <c r="Q1" s="68"/>
      <c r="R1" s="68"/>
      <c r="S1" s="68"/>
      <c r="T1" s="68"/>
      <c r="U1" s="68"/>
      <c r="Z1" s="10"/>
    </row>
    <row r="2" spans="1:26" ht="15.6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6" ht="15.6" customHeight="1" x14ac:dyDescent="0.25">
      <c r="A3" s="68" t="s">
        <v>0</v>
      </c>
      <c r="B3" s="68"/>
      <c r="C3" s="68"/>
      <c r="D3" s="68"/>
      <c r="E3" s="68"/>
      <c r="F3" s="68"/>
      <c r="G3" s="68"/>
      <c r="H3" s="68" t="s">
        <v>0</v>
      </c>
      <c r="I3" s="68"/>
      <c r="J3" s="68"/>
      <c r="K3" s="68"/>
      <c r="L3" s="68"/>
      <c r="M3" s="68"/>
      <c r="N3" s="68"/>
      <c r="O3" s="68" t="s">
        <v>0</v>
      </c>
      <c r="P3" s="68"/>
      <c r="Q3" s="68"/>
      <c r="R3" s="68"/>
      <c r="S3" s="68"/>
      <c r="T3" s="68"/>
      <c r="U3" s="68"/>
    </row>
    <row r="4" spans="1:26" ht="15.6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6" ht="15.6" customHeight="1" x14ac:dyDescent="0.25">
      <c r="K5" s="51"/>
      <c r="L5" s="51"/>
      <c r="M5" s="51"/>
      <c r="R5" s="51"/>
      <c r="S5" s="51"/>
      <c r="T5" s="51"/>
    </row>
    <row r="6" spans="1:26" ht="15.6" customHeight="1" x14ac:dyDescent="0.25">
      <c r="A6" s="65" t="s">
        <v>132</v>
      </c>
      <c r="B6" s="65"/>
      <c r="C6" s="65"/>
      <c r="D6" s="65"/>
      <c r="E6" s="65"/>
      <c r="F6" s="65"/>
      <c r="G6" s="65"/>
      <c r="H6" s="65" t="s">
        <v>132</v>
      </c>
      <c r="I6" s="65"/>
      <c r="J6" s="65"/>
      <c r="K6" s="65"/>
      <c r="L6" s="65"/>
      <c r="M6" s="65"/>
      <c r="N6" s="65"/>
      <c r="O6" s="65" t="s">
        <v>132</v>
      </c>
      <c r="P6" s="65"/>
      <c r="Q6" s="65"/>
      <c r="R6" s="65"/>
      <c r="S6" s="65"/>
      <c r="T6" s="65"/>
      <c r="U6" s="65"/>
    </row>
    <row r="7" spans="1:26" ht="15.6" customHeight="1" x14ac:dyDescent="0.25">
      <c r="K7" s="51"/>
      <c r="L7" s="51"/>
      <c r="M7" s="51"/>
      <c r="R7" s="51"/>
      <c r="S7" s="51"/>
      <c r="T7" s="51"/>
      <c r="V7" s="42"/>
    </row>
    <row r="8" spans="1:26" ht="15.6" customHeight="1" x14ac:dyDescent="0.25">
      <c r="D8" s="51" t="s">
        <v>1</v>
      </c>
      <c r="F8" s="93" t="s">
        <v>139</v>
      </c>
      <c r="G8" s="93"/>
      <c r="K8" s="51" t="s">
        <v>1</v>
      </c>
      <c r="L8" s="51"/>
      <c r="M8" s="93" t="s">
        <v>139</v>
      </c>
      <c r="N8" s="93"/>
      <c r="R8" s="51" t="s">
        <v>1</v>
      </c>
      <c r="S8" s="51"/>
      <c r="T8" s="93" t="s">
        <v>139</v>
      </c>
      <c r="U8" s="93"/>
      <c r="V8" s="42"/>
    </row>
    <row r="9" spans="1:26" ht="15.6" customHeight="1" x14ac:dyDescent="0.25">
      <c r="A9" s="65" t="s">
        <v>25</v>
      </c>
      <c r="B9" s="65"/>
      <c r="C9" s="65"/>
      <c r="D9" s="93" t="s">
        <v>52</v>
      </c>
      <c r="E9" s="93"/>
      <c r="F9" s="93"/>
      <c r="H9" s="65" t="s">
        <v>25</v>
      </c>
      <c r="I9" s="65"/>
      <c r="J9" s="65"/>
      <c r="K9" s="65" t="s">
        <v>54</v>
      </c>
      <c r="L9" s="65"/>
      <c r="M9" s="65"/>
      <c r="N9" s="65"/>
      <c r="O9" s="65" t="s">
        <v>25</v>
      </c>
      <c r="P9" s="65"/>
      <c r="Q9" s="65"/>
      <c r="R9" s="65" t="s">
        <v>56</v>
      </c>
      <c r="S9" s="65"/>
      <c r="T9" s="65"/>
      <c r="U9" s="65"/>
      <c r="V9" s="42"/>
      <c r="W9" s="47"/>
      <c r="X9" s="47"/>
      <c r="Y9" s="47"/>
    </row>
    <row r="10" spans="1:26" ht="15.6" customHeight="1" x14ac:dyDescent="0.25">
      <c r="A10" s="65" t="s">
        <v>44</v>
      </c>
      <c r="B10" s="65"/>
      <c r="C10" s="65"/>
      <c r="D10" s="93" t="s">
        <v>53</v>
      </c>
      <c r="E10" s="93"/>
      <c r="F10" s="93"/>
      <c r="H10" s="65" t="s">
        <v>44</v>
      </c>
      <c r="I10" s="65"/>
      <c r="J10" s="65"/>
      <c r="K10" s="65" t="s">
        <v>36</v>
      </c>
      <c r="L10" s="65"/>
      <c r="M10" s="65"/>
      <c r="N10" s="65"/>
      <c r="O10" s="65" t="s">
        <v>44</v>
      </c>
      <c r="P10" s="65"/>
      <c r="Q10" s="65"/>
      <c r="R10" s="65" t="s">
        <v>55</v>
      </c>
      <c r="S10" s="65"/>
      <c r="T10" s="65"/>
      <c r="U10" s="65"/>
      <c r="V10" s="42"/>
      <c r="W10" s="47"/>
      <c r="X10" s="47"/>
      <c r="Y10" s="47"/>
    </row>
    <row r="11" spans="1:26" ht="15.6" customHeight="1" x14ac:dyDescent="0.25">
      <c r="K11" s="51"/>
      <c r="L11" s="51"/>
      <c r="M11" s="51"/>
      <c r="R11" s="51"/>
      <c r="S11" s="51"/>
      <c r="T11" s="51"/>
      <c r="V11" s="42"/>
      <c r="W11" s="47"/>
      <c r="X11" s="47"/>
      <c r="Y11" s="47"/>
    </row>
    <row r="12" spans="1:26" ht="15.6" customHeight="1" x14ac:dyDescent="0.25">
      <c r="K12" s="51"/>
      <c r="L12" s="51"/>
      <c r="M12" s="51"/>
      <c r="R12" s="51"/>
      <c r="S12" s="51"/>
      <c r="T12" s="51"/>
      <c r="V12" s="42"/>
      <c r="W12" s="47"/>
      <c r="X12" s="47"/>
      <c r="Y12" s="47"/>
    </row>
    <row r="13" spans="1:26" ht="48" customHeight="1" x14ac:dyDescent="0.25">
      <c r="A13" s="25" t="s">
        <v>27</v>
      </c>
      <c r="B13" s="60" t="s">
        <v>108</v>
      </c>
      <c r="C13" s="60"/>
      <c r="D13" s="30" t="s">
        <v>74</v>
      </c>
      <c r="E13" s="30" t="s">
        <v>75</v>
      </c>
      <c r="F13" s="30" t="s">
        <v>76</v>
      </c>
      <c r="G13" s="31" t="s">
        <v>32</v>
      </c>
      <c r="H13" s="25" t="s">
        <v>27</v>
      </c>
      <c r="I13" s="60" t="s">
        <v>108</v>
      </c>
      <c r="J13" s="60"/>
      <c r="K13" s="30" t="s">
        <v>74</v>
      </c>
      <c r="L13" s="30" t="s">
        <v>75</v>
      </c>
      <c r="M13" s="30" t="s">
        <v>76</v>
      </c>
      <c r="N13" s="31" t="s">
        <v>32</v>
      </c>
      <c r="O13" s="25" t="s">
        <v>27</v>
      </c>
      <c r="P13" s="60" t="s">
        <v>108</v>
      </c>
      <c r="Q13" s="60"/>
      <c r="R13" s="30" t="s">
        <v>74</v>
      </c>
      <c r="S13" s="30" t="s">
        <v>75</v>
      </c>
      <c r="T13" s="30" t="s">
        <v>76</v>
      </c>
      <c r="U13" s="31" t="s">
        <v>32</v>
      </c>
      <c r="V13" s="42"/>
      <c r="W13" s="52"/>
      <c r="X13" s="47"/>
      <c r="Y13" s="47"/>
    </row>
    <row r="14" spans="1:26" ht="15.6" customHeight="1" x14ac:dyDescent="0.25">
      <c r="A14" s="58" t="s">
        <v>71</v>
      </c>
      <c r="B14" s="26">
        <v>14.8</v>
      </c>
      <c r="C14" s="92">
        <f>AVERAGE(B14:B16)</f>
        <v>14.65</v>
      </c>
      <c r="D14" s="92">
        <v>45</v>
      </c>
      <c r="E14" s="92">
        <v>65.8</v>
      </c>
      <c r="F14" s="92">
        <v>58.7</v>
      </c>
      <c r="G14" s="91">
        <f>(E14-F14)/(F14-D14)*100</f>
        <v>51.824817518248125</v>
      </c>
      <c r="H14" s="58" t="s">
        <v>116</v>
      </c>
      <c r="I14" s="26">
        <v>16.100000000000001</v>
      </c>
      <c r="J14" s="92">
        <f>AVERAGE(I14:I16)</f>
        <v>16.149999999999999</v>
      </c>
      <c r="K14" s="92">
        <v>45.7</v>
      </c>
      <c r="L14" s="92">
        <v>60.4</v>
      </c>
      <c r="M14" s="92">
        <v>55.7</v>
      </c>
      <c r="N14" s="91">
        <f>(L14-M14)/(M14-K14)*100</f>
        <v>46.999999999999957</v>
      </c>
      <c r="O14" s="58" t="s">
        <v>85</v>
      </c>
      <c r="P14" s="26">
        <v>13.8</v>
      </c>
      <c r="Q14" s="92">
        <f>AVERAGE(P14:P16)</f>
        <v>13.9</v>
      </c>
      <c r="R14" s="92">
        <v>48.5</v>
      </c>
      <c r="S14" s="92">
        <v>69.2</v>
      </c>
      <c r="T14" s="92">
        <v>63.4</v>
      </c>
      <c r="U14" s="91">
        <f>(S14-T14)/(T14-R14)*100</f>
        <v>38.926174496644329</v>
      </c>
      <c r="V14" s="42"/>
      <c r="W14" s="47"/>
      <c r="X14" s="47"/>
      <c r="Y14" s="47"/>
    </row>
    <row r="15" spans="1:26" ht="15.6" customHeight="1" x14ac:dyDescent="0.25">
      <c r="A15" s="58"/>
      <c r="B15" s="26">
        <v>14.5</v>
      </c>
      <c r="C15" s="92"/>
      <c r="D15" s="92"/>
      <c r="E15" s="92"/>
      <c r="F15" s="92"/>
      <c r="G15" s="91"/>
      <c r="H15" s="58"/>
      <c r="I15" s="26">
        <v>16.2</v>
      </c>
      <c r="J15" s="92"/>
      <c r="K15" s="92"/>
      <c r="L15" s="92"/>
      <c r="M15" s="92"/>
      <c r="N15" s="91"/>
      <c r="O15" s="58"/>
      <c r="P15" s="26">
        <v>14</v>
      </c>
      <c r="Q15" s="92"/>
      <c r="R15" s="92"/>
      <c r="S15" s="92"/>
      <c r="T15" s="92"/>
      <c r="U15" s="91"/>
      <c r="V15" s="42"/>
      <c r="W15" s="47"/>
      <c r="X15" s="47"/>
      <c r="Y15" s="47"/>
    </row>
    <row r="16" spans="1:26" ht="15.6" customHeight="1" x14ac:dyDescent="0.25">
      <c r="A16" s="58"/>
      <c r="B16" s="26"/>
      <c r="C16" s="92"/>
      <c r="D16" s="92"/>
      <c r="E16" s="92"/>
      <c r="F16" s="92"/>
      <c r="G16" s="91"/>
      <c r="H16" s="58"/>
      <c r="I16" s="26"/>
      <c r="J16" s="92"/>
      <c r="K16" s="92"/>
      <c r="L16" s="92"/>
      <c r="M16" s="92"/>
      <c r="N16" s="91"/>
      <c r="O16" s="58"/>
      <c r="P16" s="26"/>
      <c r="Q16" s="92"/>
      <c r="R16" s="92"/>
      <c r="S16" s="92"/>
      <c r="T16" s="92"/>
      <c r="U16" s="91"/>
      <c r="V16" s="42"/>
      <c r="W16" s="47"/>
      <c r="X16" s="47"/>
      <c r="Y16" s="47"/>
    </row>
    <row r="17" spans="1:34" ht="15.6" customHeight="1" x14ac:dyDescent="0.25">
      <c r="A17" s="58" t="s">
        <v>62</v>
      </c>
      <c r="B17" s="26">
        <v>16.399999999999999</v>
      </c>
      <c r="C17" s="92">
        <f t="shared" ref="C17" si="0">AVERAGE(B17:B19)</f>
        <v>16.399999999999999</v>
      </c>
      <c r="D17" s="92">
        <v>45.4</v>
      </c>
      <c r="E17" s="92">
        <v>65.2</v>
      </c>
      <c r="F17" s="92">
        <v>58.2</v>
      </c>
      <c r="G17" s="91">
        <f t="shared" ref="G17" si="1">(E17-F17)/(F17-D17)*100</f>
        <v>54.687499999999979</v>
      </c>
      <c r="H17" s="58" t="s">
        <v>118</v>
      </c>
      <c r="I17" s="26">
        <v>17.600000000000001</v>
      </c>
      <c r="J17" s="92">
        <f t="shared" ref="J17" si="2">AVERAGE(I17:I19)</f>
        <v>17.933333333333334</v>
      </c>
      <c r="K17" s="92">
        <v>44</v>
      </c>
      <c r="L17" s="92">
        <v>58.7</v>
      </c>
      <c r="M17" s="92">
        <v>53.9</v>
      </c>
      <c r="N17" s="91">
        <f t="shared" ref="N17" si="3">(L17-M17)/(M17-K17)*100</f>
        <v>48.484848484848534</v>
      </c>
      <c r="O17" s="58" t="s">
        <v>71</v>
      </c>
      <c r="P17" s="26">
        <v>16.100000000000001</v>
      </c>
      <c r="Q17" s="92">
        <f t="shared" ref="Q17" si="4">AVERAGE(P17:P19)</f>
        <v>15.9</v>
      </c>
      <c r="R17" s="92">
        <v>45</v>
      </c>
      <c r="S17" s="92">
        <v>74.3</v>
      </c>
      <c r="T17" s="92">
        <v>65.8</v>
      </c>
      <c r="U17" s="91">
        <f t="shared" ref="U17" si="5">(S17-T17)/(T17-R17)*100</f>
        <v>40.86538461538462</v>
      </c>
      <c r="V17" s="42"/>
      <c r="W17" s="47"/>
      <c r="X17" s="47"/>
      <c r="Y17" s="47"/>
    </row>
    <row r="18" spans="1:34" ht="15.6" customHeight="1" x14ac:dyDescent="0.25">
      <c r="A18" s="58"/>
      <c r="B18" s="26">
        <v>16.399999999999999</v>
      </c>
      <c r="C18" s="92"/>
      <c r="D18" s="92"/>
      <c r="E18" s="92"/>
      <c r="F18" s="92"/>
      <c r="G18" s="91"/>
      <c r="H18" s="58"/>
      <c r="I18" s="26">
        <v>18.3</v>
      </c>
      <c r="J18" s="92"/>
      <c r="K18" s="92"/>
      <c r="L18" s="92"/>
      <c r="M18" s="92"/>
      <c r="N18" s="91"/>
      <c r="O18" s="58"/>
      <c r="P18" s="26">
        <v>15.7</v>
      </c>
      <c r="Q18" s="92"/>
      <c r="R18" s="92"/>
      <c r="S18" s="92"/>
      <c r="T18" s="92"/>
      <c r="U18" s="91"/>
      <c r="V18" s="42"/>
      <c r="W18" s="47"/>
      <c r="X18" s="47"/>
      <c r="Y18" s="47"/>
    </row>
    <row r="19" spans="1:34" ht="15.6" customHeight="1" x14ac:dyDescent="0.25">
      <c r="A19" s="58"/>
      <c r="B19" s="26"/>
      <c r="C19" s="92"/>
      <c r="D19" s="92"/>
      <c r="E19" s="92"/>
      <c r="F19" s="92"/>
      <c r="G19" s="91"/>
      <c r="H19" s="58"/>
      <c r="I19" s="26">
        <v>17.899999999999999</v>
      </c>
      <c r="J19" s="92"/>
      <c r="K19" s="92"/>
      <c r="L19" s="92"/>
      <c r="M19" s="92"/>
      <c r="N19" s="91"/>
      <c r="O19" s="58"/>
      <c r="P19" s="26"/>
      <c r="Q19" s="92"/>
      <c r="R19" s="92"/>
      <c r="S19" s="92"/>
      <c r="T19" s="92"/>
      <c r="U19" s="91"/>
      <c r="V19" s="42"/>
      <c r="W19" s="47"/>
      <c r="X19" s="47"/>
      <c r="Y19" s="47"/>
    </row>
    <row r="20" spans="1:34" ht="15.6" customHeight="1" x14ac:dyDescent="0.25">
      <c r="A20" s="58" t="s">
        <v>70</v>
      </c>
      <c r="B20" s="26">
        <v>18.100000000000001</v>
      </c>
      <c r="C20" s="92">
        <f t="shared" ref="C20" si="6">AVERAGE(B20:B22)</f>
        <v>18.500000000000004</v>
      </c>
      <c r="D20" s="92">
        <v>41.4</v>
      </c>
      <c r="E20" s="92">
        <v>66.900000000000006</v>
      </c>
      <c r="F20" s="92">
        <v>57.6</v>
      </c>
      <c r="G20" s="91">
        <f t="shared" ref="G20" si="7">(E20-F20)/(F20-D20)*100</f>
        <v>57.407407407407426</v>
      </c>
      <c r="H20" s="58" t="s">
        <v>120</v>
      </c>
      <c r="I20" s="26">
        <v>20.7</v>
      </c>
      <c r="J20" s="92">
        <f t="shared" ref="J20" si="8">AVERAGE(I20:I22)</f>
        <v>20.7</v>
      </c>
      <c r="K20" s="92">
        <v>43.7</v>
      </c>
      <c r="L20" s="92">
        <v>59.3</v>
      </c>
      <c r="M20" s="92">
        <v>54.1</v>
      </c>
      <c r="N20" s="91">
        <f t="shared" ref="N20" si="9">(L20-M20)/(M20-K20)*100</f>
        <v>49.999999999999964</v>
      </c>
      <c r="O20" s="58" t="s">
        <v>119</v>
      </c>
      <c r="P20" s="26">
        <v>17.899999999999999</v>
      </c>
      <c r="Q20" s="92">
        <f t="shared" ref="Q20" si="10">AVERAGE(P20:P22)</f>
        <v>17.899999999999999</v>
      </c>
      <c r="R20" s="92">
        <v>45.7</v>
      </c>
      <c r="S20" s="92">
        <v>75</v>
      </c>
      <c r="T20" s="92">
        <v>66.2</v>
      </c>
      <c r="U20" s="91">
        <f t="shared" ref="U20" si="11">(S20-T20)/(T20-R20)*100</f>
        <v>42.926829268292671</v>
      </c>
      <c r="V20" s="42"/>
      <c r="W20" s="47"/>
      <c r="X20" s="47"/>
      <c r="Y20" s="47"/>
    </row>
    <row r="21" spans="1:34" ht="15.6" customHeight="1" x14ac:dyDescent="0.25">
      <c r="A21" s="58"/>
      <c r="B21" s="26">
        <v>18.8</v>
      </c>
      <c r="C21" s="92"/>
      <c r="D21" s="92"/>
      <c r="E21" s="92"/>
      <c r="F21" s="92"/>
      <c r="G21" s="91"/>
      <c r="H21" s="58"/>
      <c r="I21" s="26">
        <v>20.7</v>
      </c>
      <c r="J21" s="92"/>
      <c r="K21" s="92"/>
      <c r="L21" s="92"/>
      <c r="M21" s="92"/>
      <c r="N21" s="91"/>
      <c r="O21" s="58"/>
      <c r="P21" s="26">
        <v>17.899999999999999</v>
      </c>
      <c r="Q21" s="92"/>
      <c r="R21" s="92"/>
      <c r="S21" s="92"/>
      <c r="T21" s="92"/>
      <c r="U21" s="91"/>
      <c r="V21" s="38"/>
    </row>
    <row r="22" spans="1:34" ht="15.6" customHeight="1" x14ac:dyDescent="0.25">
      <c r="A22" s="58"/>
      <c r="B22" s="26">
        <v>18.600000000000001</v>
      </c>
      <c r="C22" s="92"/>
      <c r="D22" s="92"/>
      <c r="E22" s="92"/>
      <c r="F22" s="92"/>
      <c r="G22" s="91"/>
      <c r="H22" s="58"/>
      <c r="I22" s="26"/>
      <c r="J22" s="92"/>
      <c r="K22" s="92"/>
      <c r="L22" s="92"/>
      <c r="M22" s="92"/>
      <c r="N22" s="91"/>
      <c r="O22" s="58"/>
      <c r="P22" s="26"/>
      <c r="Q22" s="92"/>
      <c r="R22" s="92"/>
      <c r="S22" s="92"/>
      <c r="T22" s="92"/>
      <c r="U22" s="91"/>
      <c r="V22" s="13"/>
      <c r="AA22" s="11"/>
      <c r="AB22" s="11"/>
      <c r="AC22" s="11"/>
      <c r="AD22" s="11"/>
      <c r="AE22" s="11"/>
      <c r="AF22" s="11"/>
      <c r="AG22" s="11"/>
      <c r="AH22" s="11"/>
    </row>
    <row r="23" spans="1:34" ht="15.6" customHeight="1" x14ac:dyDescent="0.25">
      <c r="A23" s="58" t="s">
        <v>89</v>
      </c>
      <c r="B23" s="26">
        <v>23.9</v>
      </c>
      <c r="C23" s="92">
        <f t="shared" ref="C23" si="12">AVERAGE(B23:B25)</f>
        <v>23.7</v>
      </c>
      <c r="D23" s="92">
        <v>45.8</v>
      </c>
      <c r="E23" s="92">
        <v>73.5</v>
      </c>
      <c r="F23" s="92">
        <v>63</v>
      </c>
      <c r="G23" s="91">
        <f t="shared" ref="G23" si="13">(E23-F23)/(F23-D23)*100</f>
        <v>61.046511627906966</v>
      </c>
      <c r="H23" s="58" t="s">
        <v>122</v>
      </c>
      <c r="I23" s="26">
        <v>21</v>
      </c>
      <c r="J23" s="92">
        <f t="shared" ref="J23" si="14">AVERAGE(I23:I25)</f>
        <v>21.566666666666663</v>
      </c>
      <c r="K23" s="92">
        <v>39.1</v>
      </c>
      <c r="L23" s="92">
        <v>61.3</v>
      </c>
      <c r="M23" s="92">
        <v>53.8</v>
      </c>
      <c r="N23" s="91">
        <f t="shared" ref="N23" si="15">(L23-M23)/(M23-K23)*100</f>
        <v>51.020408163265316</v>
      </c>
      <c r="O23" s="58" t="s">
        <v>118</v>
      </c>
      <c r="P23" s="26">
        <v>21.4</v>
      </c>
      <c r="Q23" s="92">
        <f t="shared" ref="Q23" si="16">AVERAGE(P23:P25)</f>
        <v>21.25</v>
      </c>
      <c r="R23" s="92">
        <v>44</v>
      </c>
      <c r="S23" s="92">
        <v>71</v>
      </c>
      <c r="T23" s="92">
        <v>62.4</v>
      </c>
      <c r="U23" s="91">
        <f t="shared" ref="U23" si="17">(S23-T23)/(T23-R23)*100</f>
        <v>46.739130434782624</v>
      </c>
    </row>
    <row r="24" spans="1:34" ht="15.6" customHeight="1" x14ac:dyDescent="0.25">
      <c r="A24" s="58"/>
      <c r="B24" s="26">
        <v>23.5</v>
      </c>
      <c r="C24" s="92"/>
      <c r="D24" s="92"/>
      <c r="E24" s="92"/>
      <c r="F24" s="92"/>
      <c r="G24" s="91"/>
      <c r="H24" s="58"/>
      <c r="I24" s="26">
        <v>21.8</v>
      </c>
      <c r="J24" s="92"/>
      <c r="K24" s="92"/>
      <c r="L24" s="92"/>
      <c r="M24" s="92"/>
      <c r="N24" s="91"/>
      <c r="O24" s="58"/>
      <c r="P24" s="26">
        <v>21.1</v>
      </c>
      <c r="Q24" s="92"/>
      <c r="R24" s="92"/>
      <c r="S24" s="92"/>
      <c r="T24" s="92"/>
      <c r="U24" s="91"/>
      <c r="W24" s="80"/>
      <c r="X24" s="80"/>
      <c r="Y24" s="80"/>
      <c r="Z24" s="80"/>
      <c r="AA24" s="80"/>
      <c r="AC24" s="9"/>
    </row>
    <row r="25" spans="1:34" ht="15.6" customHeight="1" x14ac:dyDescent="0.25">
      <c r="A25" s="58"/>
      <c r="B25" s="26"/>
      <c r="C25" s="92"/>
      <c r="D25" s="92"/>
      <c r="E25" s="92"/>
      <c r="F25" s="92"/>
      <c r="G25" s="91"/>
      <c r="H25" s="58"/>
      <c r="I25" s="26">
        <v>21.9</v>
      </c>
      <c r="J25" s="92"/>
      <c r="K25" s="92"/>
      <c r="L25" s="92"/>
      <c r="M25" s="92"/>
      <c r="N25" s="91"/>
      <c r="O25" s="58"/>
      <c r="P25" s="26"/>
      <c r="Q25" s="92"/>
      <c r="R25" s="92"/>
      <c r="S25" s="92"/>
      <c r="T25" s="92"/>
      <c r="U25" s="91"/>
      <c r="AC25" s="9"/>
    </row>
    <row r="26" spans="1:34" ht="15.6" customHeight="1" x14ac:dyDescent="0.25">
      <c r="AB26" s="8"/>
      <c r="AC26" s="9"/>
      <c r="AD26" s="7"/>
      <c r="AE26" s="7"/>
      <c r="AF26" s="7"/>
    </row>
    <row r="27" spans="1:34" ht="15.6" customHeight="1" x14ac:dyDescent="0.25">
      <c r="AB27" s="8"/>
      <c r="AC27" s="9"/>
      <c r="AD27" s="7"/>
      <c r="AE27" s="7"/>
      <c r="AF27" s="7"/>
    </row>
    <row r="28" spans="1:34" ht="15.6" customHeight="1" x14ac:dyDescent="0.25">
      <c r="AB28" s="8"/>
      <c r="AC28" s="9"/>
      <c r="AD28" s="7"/>
      <c r="AE28" s="7"/>
      <c r="AF28" s="7"/>
    </row>
    <row r="29" spans="1:34" ht="15.6" customHeight="1" x14ac:dyDescent="0.25">
      <c r="AB29" s="8"/>
      <c r="AC29" s="9"/>
      <c r="AD29" s="7"/>
      <c r="AE29" s="7"/>
      <c r="AF29" s="7"/>
    </row>
    <row r="30" spans="1:34" ht="15.6" customHeight="1" x14ac:dyDescent="0.25">
      <c r="AB30" s="8"/>
      <c r="AC30" s="9"/>
      <c r="AD30" s="7"/>
      <c r="AE30" s="7"/>
      <c r="AF30" s="7"/>
    </row>
    <row r="31" spans="1:34" ht="15.6" customHeight="1" x14ac:dyDescent="0.25">
      <c r="AB31" s="8"/>
      <c r="AC31" s="9"/>
      <c r="AD31" s="7"/>
      <c r="AE31" s="7"/>
      <c r="AF31" s="7"/>
    </row>
    <row r="32" spans="1:34" ht="15.6" customHeight="1" x14ac:dyDescent="0.25">
      <c r="AB32" s="8"/>
      <c r="AC32" s="9"/>
      <c r="AD32" s="7"/>
      <c r="AE32" s="7"/>
      <c r="AF32" s="7"/>
    </row>
    <row r="33" spans="1:44" ht="15.6" customHeight="1" x14ac:dyDescent="0.25">
      <c r="AB33" s="8"/>
      <c r="AC33" s="9"/>
      <c r="AD33" s="7"/>
      <c r="AE33" s="7"/>
      <c r="AF33" s="7"/>
    </row>
    <row r="34" spans="1:44" ht="15.6" customHeight="1" x14ac:dyDescent="0.25">
      <c r="AB34" s="8"/>
      <c r="AC34" s="9"/>
      <c r="AD34" s="7"/>
      <c r="AE34" s="7"/>
      <c r="AF34" s="7"/>
    </row>
    <row r="35" spans="1:44" ht="15.6" customHeight="1" x14ac:dyDescent="0.25">
      <c r="AB35" s="8"/>
      <c r="AC35" s="9"/>
      <c r="AD35" s="7"/>
      <c r="AE35" s="7"/>
      <c r="AF35" s="7"/>
    </row>
    <row r="36" spans="1:44" ht="15.6" customHeight="1" x14ac:dyDescent="0.25">
      <c r="AB36" s="8"/>
      <c r="AC36" s="9"/>
      <c r="AD36" s="7"/>
      <c r="AE36" s="7"/>
      <c r="AF36" s="7"/>
    </row>
    <row r="37" spans="1:44" ht="15.6" customHeight="1" x14ac:dyDescent="0.25">
      <c r="AB37" s="8"/>
      <c r="AC37" s="9"/>
      <c r="AD37" s="7"/>
      <c r="AE37" s="7"/>
      <c r="AF37" s="7"/>
    </row>
    <row r="38" spans="1:44" ht="15.6" customHeight="1" x14ac:dyDescent="0.25">
      <c r="W38" s="104"/>
      <c r="X38" s="104"/>
      <c r="Y38" s="104"/>
      <c r="Z38" s="104"/>
      <c r="AA38" s="104"/>
      <c r="AB38" s="104"/>
      <c r="AC38" s="104"/>
    </row>
    <row r="39" spans="1:44" ht="15.6" customHeight="1" x14ac:dyDescent="0.25">
      <c r="S39" s="34"/>
      <c r="T39" s="34"/>
      <c r="U39" s="48"/>
      <c r="V39" s="38"/>
      <c r="W39" s="13"/>
      <c r="X39" s="13"/>
      <c r="Y39" s="13"/>
      <c r="Z39" s="11"/>
      <c r="AA39" s="11"/>
      <c r="AB39" s="11"/>
      <c r="AC39" s="11"/>
      <c r="AH39" s="11"/>
      <c r="AI39" s="11"/>
      <c r="AJ39" s="11"/>
      <c r="AK39" s="11"/>
      <c r="AL39" s="11"/>
      <c r="AM39" s="11"/>
      <c r="AN39" s="11"/>
      <c r="AO39" s="11"/>
    </row>
    <row r="40" spans="1:44" ht="15.6" customHeight="1" x14ac:dyDescent="0.25"/>
    <row r="41" spans="1:44" ht="15.6" customHeight="1" x14ac:dyDescent="0.25"/>
    <row r="42" spans="1:44" ht="15.6" customHeight="1" x14ac:dyDescent="0.25"/>
    <row r="43" spans="1:44" ht="15.6" customHeight="1" x14ac:dyDescent="0.25">
      <c r="AR43" s="7"/>
    </row>
    <row r="44" spans="1:44" ht="15.6" customHeight="1" x14ac:dyDescent="0.25">
      <c r="B44" s="90" t="s">
        <v>136</v>
      </c>
      <c r="C44" s="90"/>
      <c r="D44" s="90"/>
      <c r="E44" s="90">
        <v>58</v>
      </c>
      <c r="F44" s="90"/>
      <c r="I44" s="90" t="s">
        <v>136</v>
      </c>
      <c r="J44" s="90"/>
      <c r="K44" s="90"/>
      <c r="L44" s="90">
        <v>50</v>
      </c>
      <c r="M44" s="90"/>
      <c r="P44" s="90" t="s">
        <v>136</v>
      </c>
      <c r="Q44" s="90"/>
      <c r="R44" s="90"/>
      <c r="S44" s="90">
        <v>45</v>
      </c>
      <c r="T44" s="90"/>
      <c r="AR44" s="7"/>
    </row>
    <row r="45" spans="1:44" ht="15.6" customHeight="1" x14ac:dyDescent="0.25">
      <c r="B45" s="90"/>
      <c r="C45" s="90"/>
      <c r="D45" s="90"/>
      <c r="E45" s="90"/>
      <c r="F45" s="90"/>
      <c r="I45" s="90"/>
      <c r="J45" s="90"/>
      <c r="K45" s="90"/>
      <c r="L45" s="90"/>
      <c r="M45" s="90"/>
      <c r="P45" s="90"/>
      <c r="Q45" s="90"/>
      <c r="R45" s="90"/>
      <c r="S45" s="90"/>
      <c r="T45" s="90"/>
      <c r="AR45" s="7"/>
    </row>
    <row r="46" spans="1:44" ht="15.6" customHeight="1" x14ac:dyDescent="0.25">
      <c r="V46" s="33"/>
      <c r="W46" s="33"/>
      <c r="X46" s="33"/>
      <c r="Y46" s="51"/>
      <c r="Z46" s="51"/>
      <c r="AA46" s="53">
        <v>0</v>
      </c>
      <c r="AB46" s="20">
        <f>(20+36.576)/97.594*100</f>
        <v>57.970776892022059</v>
      </c>
      <c r="AC46" s="37"/>
      <c r="AD46" s="37"/>
      <c r="AE46" s="37"/>
      <c r="AF46" s="37"/>
      <c r="AG46" s="37"/>
      <c r="AH46" s="53">
        <v>0</v>
      </c>
      <c r="AI46" s="20">
        <f>(20+50.186)/141.01*100</f>
        <v>49.773774909580887</v>
      </c>
      <c r="AJ46" s="37"/>
      <c r="AK46" s="37"/>
      <c r="AL46" s="37"/>
      <c r="AM46" s="37"/>
      <c r="AN46" s="37"/>
      <c r="AO46" s="53">
        <v>0</v>
      </c>
      <c r="AP46" s="20">
        <f>(20+22.452)/93.686*100</f>
        <v>45.313067053775377</v>
      </c>
      <c r="AR46" s="7"/>
    </row>
    <row r="47" spans="1:44" ht="15.6" customHeight="1" x14ac:dyDescent="0.25">
      <c r="A47" s="68" t="s">
        <v>109</v>
      </c>
      <c r="B47" s="68"/>
      <c r="C47" s="68"/>
      <c r="D47" s="68"/>
      <c r="E47" s="68"/>
      <c r="F47" s="68"/>
      <c r="G47" s="68"/>
      <c r="H47" s="68" t="s">
        <v>124</v>
      </c>
      <c r="I47" s="68"/>
      <c r="J47" s="68"/>
      <c r="K47" s="68"/>
      <c r="L47" s="68"/>
      <c r="M47" s="68"/>
      <c r="N47" s="68"/>
      <c r="O47" s="68" t="s">
        <v>128</v>
      </c>
      <c r="P47" s="68"/>
      <c r="Q47" s="68"/>
      <c r="R47" s="68"/>
      <c r="S47" s="68"/>
      <c r="T47" s="68"/>
      <c r="U47" s="68"/>
      <c r="V47" s="33"/>
      <c r="W47" s="33"/>
      <c r="X47" s="33"/>
      <c r="Y47" s="51"/>
      <c r="Z47" s="51"/>
      <c r="AA47" s="53">
        <v>20</v>
      </c>
      <c r="AB47" s="20">
        <f>(20+36.576)/97.594*100</f>
        <v>57.970776892022059</v>
      </c>
      <c r="AC47" s="37"/>
      <c r="AD47" s="37"/>
      <c r="AE47" s="37"/>
      <c r="AF47" s="37"/>
      <c r="AG47" s="37"/>
      <c r="AH47" s="53">
        <v>20</v>
      </c>
      <c r="AI47" s="20">
        <f>(20+50.186)/141.01*100</f>
        <v>49.773774909580887</v>
      </c>
      <c r="AJ47" s="37"/>
      <c r="AK47" s="37"/>
      <c r="AL47" s="37"/>
      <c r="AM47" s="37"/>
      <c r="AN47" s="37"/>
      <c r="AO47" s="53">
        <v>20</v>
      </c>
      <c r="AP47" s="20">
        <f>(20+22.452)/93.686*100</f>
        <v>45.313067053775377</v>
      </c>
      <c r="AR47" s="7"/>
    </row>
    <row r="48" spans="1:44" ht="15.6" customHeigh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33"/>
      <c r="W48" s="33"/>
      <c r="X48" s="33"/>
      <c r="Y48" s="51"/>
      <c r="Z48" s="51"/>
      <c r="AA48" s="53">
        <v>20</v>
      </c>
      <c r="AB48" s="20">
        <v>0</v>
      </c>
      <c r="AC48" s="37"/>
      <c r="AD48" s="37"/>
      <c r="AE48" s="37"/>
      <c r="AF48" s="37"/>
      <c r="AG48" s="37"/>
      <c r="AH48" s="53">
        <v>20</v>
      </c>
      <c r="AI48" s="20">
        <v>0</v>
      </c>
      <c r="AJ48" s="37"/>
      <c r="AK48" s="37"/>
      <c r="AL48" s="37"/>
      <c r="AM48" s="37"/>
      <c r="AN48" s="37"/>
      <c r="AO48" s="53">
        <v>20</v>
      </c>
      <c r="AP48" s="20">
        <v>0</v>
      </c>
      <c r="AR48" s="7"/>
    </row>
    <row r="49" spans="1:44" ht="15.6" customHeight="1" x14ac:dyDescent="0.25">
      <c r="A49" s="68" t="s">
        <v>0</v>
      </c>
      <c r="B49" s="68"/>
      <c r="C49" s="68"/>
      <c r="D49" s="68"/>
      <c r="E49" s="68"/>
      <c r="F49" s="68"/>
      <c r="G49" s="68"/>
      <c r="H49" s="68" t="s">
        <v>0</v>
      </c>
      <c r="I49" s="68"/>
      <c r="J49" s="68"/>
      <c r="K49" s="68"/>
      <c r="L49" s="68"/>
      <c r="M49" s="68"/>
      <c r="N49" s="68"/>
      <c r="O49" s="68" t="s">
        <v>0</v>
      </c>
      <c r="P49" s="68"/>
      <c r="Q49" s="68"/>
      <c r="R49" s="68"/>
      <c r="S49" s="68"/>
      <c r="T49" s="68"/>
      <c r="U49" s="68"/>
      <c r="AR49" s="7"/>
    </row>
    <row r="50" spans="1:44" ht="15.6" customHeight="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AR50" s="7"/>
    </row>
    <row r="51" spans="1:44" ht="15.6" customHeight="1" x14ac:dyDescent="0.25">
      <c r="K51" s="51"/>
      <c r="L51" s="51"/>
      <c r="M51" s="51"/>
      <c r="R51" s="51"/>
      <c r="S51" s="51"/>
      <c r="T51" s="51"/>
      <c r="AR51" s="7"/>
    </row>
    <row r="52" spans="1:44" ht="15.6" customHeight="1" x14ac:dyDescent="0.25">
      <c r="A52" s="65" t="s">
        <v>132</v>
      </c>
      <c r="B52" s="65"/>
      <c r="C52" s="65"/>
      <c r="D52" s="65"/>
      <c r="E52" s="65"/>
      <c r="F52" s="65"/>
      <c r="G52" s="65"/>
      <c r="H52" s="65" t="s">
        <v>132</v>
      </c>
      <c r="I52" s="65"/>
      <c r="J52" s="65"/>
      <c r="K52" s="65"/>
      <c r="L52" s="65"/>
      <c r="M52" s="65"/>
      <c r="N52" s="65"/>
      <c r="O52" s="65" t="s">
        <v>132</v>
      </c>
      <c r="P52" s="65"/>
      <c r="Q52" s="65"/>
      <c r="R52" s="65"/>
      <c r="S52" s="65"/>
      <c r="T52" s="65"/>
      <c r="U52" s="65"/>
      <c r="V52" s="42"/>
      <c r="AR52" s="7"/>
    </row>
    <row r="53" spans="1:44" ht="15.6" customHeight="1" x14ac:dyDescent="0.25">
      <c r="K53" s="51"/>
      <c r="L53" s="51"/>
      <c r="M53" s="51"/>
      <c r="R53" s="51"/>
      <c r="S53" s="51"/>
      <c r="T53" s="51"/>
    </row>
    <row r="54" spans="1:44" ht="15.6" customHeight="1" x14ac:dyDescent="0.25">
      <c r="D54" s="51" t="s">
        <v>1</v>
      </c>
      <c r="F54" s="93" t="s">
        <v>139</v>
      </c>
      <c r="G54" s="93"/>
      <c r="K54" s="51" t="s">
        <v>1</v>
      </c>
      <c r="L54" s="51"/>
      <c r="M54" s="93" t="s">
        <v>139</v>
      </c>
      <c r="N54" s="93"/>
      <c r="R54" s="51" t="s">
        <v>1</v>
      </c>
      <c r="S54" s="51"/>
      <c r="T54" s="93" t="s">
        <v>139</v>
      </c>
      <c r="U54" s="93"/>
      <c r="V54" s="80"/>
      <c r="W54" s="80"/>
      <c r="X54" s="80"/>
      <c r="Y54" s="80"/>
      <c r="Z54" s="80"/>
      <c r="AB54" s="9"/>
      <c r="AC54" s="10"/>
    </row>
    <row r="55" spans="1:44" ht="15.6" customHeight="1" x14ac:dyDescent="0.25">
      <c r="A55" s="65" t="s">
        <v>25</v>
      </c>
      <c r="B55" s="65"/>
      <c r="C55" s="65"/>
      <c r="D55" s="93" t="s">
        <v>52</v>
      </c>
      <c r="E55" s="93"/>
      <c r="F55" s="93"/>
      <c r="H55" s="65" t="s">
        <v>25</v>
      </c>
      <c r="I55" s="65"/>
      <c r="J55" s="65"/>
      <c r="K55" s="65" t="s">
        <v>54</v>
      </c>
      <c r="L55" s="65"/>
      <c r="M55" s="65"/>
      <c r="N55" s="65"/>
      <c r="O55" s="65" t="s">
        <v>25</v>
      </c>
      <c r="P55" s="65"/>
      <c r="Q55" s="65"/>
      <c r="R55" s="65" t="s">
        <v>56</v>
      </c>
      <c r="S55" s="65"/>
      <c r="T55" s="65"/>
      <c r="U55" s="65"/>
      <c r="AB55" s="9"/>
      <c r="AC55" s="10"/>
    </row>
    <row r="56" spans="1:44" ht="15.6" customHeight="1" x14ac:dyDescent="0.25">
      <c r="A56" s="65" t="s">
        <v>44</v>
      </c>
      <c r="B56" s="65"/>
      <c r="C56" s="65"/>
      <c r="D56" s="93" t="s">
        <v>53</v>
      </c>
      <c r="E56" s="93"/>
      <c r="F56" s="93"/>
      <c r="H56" s="65" t="s">
        <v>44</v>
      </c>
      <c r="I56" s="65"/>
      <c r="J56" s="65"/>
      <c r="K56" s="65" t="s">
        <v>36</v>
      </c>
      <c r="L56" s="65"/>
      <c r="M56" s="65"/>
      <c r="N56" s="65"/>
      <c r="O56" s="65" t="s">
        <v>44</v>
      </c>
      <c r="P56" s="65"/>
      <c r="Q56" s="65"/>
      <c r="R56" s="65" t="s">
        <v>55</v>
      </c>
      <c r="S56" s="65"/>
      <c r="T56" s="65"/>
      <c r="U56" s="65"/>
      <c r="AA56" s="8"/>
      <c r="AB56" s="9"/>
      <c r="AC56" s="10"/>
    </row>
    <row r="57" spans="1:44" ht="15.6" customHeight="1" x14ac:dyDescent="0.25">
      <c r="K57" s="51"/>
      <c r="L57" s="51"/>
      <c r="M57" s="51"/>
      <c r="R57" s="51"/>
      <c r="S57" s="51"/>
      <c r="T57" s="51"/>
      <c r="AA57" s="8"/>
      <c r="AB57" s="9"/>
      <c r="AC57" s="10"/>
    </row>
    <row r="58" spans="1:44" ht="15.6" customHeight="1" x14ac:dyDescent="0.25">
      <c r="K58" s="51"/>
      <c r="L58" s="51"/>
      <c r="M58" s="51"/>
      <c r="R58" s="51"/>
      <c r="S58" s="51"/>
      <c r="T58" s="51"/>
      <c r="AA58" s="8"/>
      <c r="AB58" s="9"/>
      <c r="AC58" s="10"/>
    </row>
    <row r="59" spans="1:44" ht="48" customHeight="1" x14ac:dyDescent="0.25">
      <c r="A59" s="25" t="s">
        <v>27</v>
      </c>
      <c r="B59" s="60" t="s">
        <v>108</v>
      </c>
      <c r="C59" s="60"/>
      <c r="D59" s="30" t="s">
        <v>74</v>
      </c>
      <c r="E59" s="30" t="s">
        <v>75</v>
      </c>
      <c r="F59" s="30" t="s">
        <v>76</v>
      </c>
      <c r="G59" s="31" t="s">
        <v>32</v>
      </c>
      <c r="H59" s="25" t="s">
        <v>27</v>
      </c>
      <c r="I59" s="60" t="s">
        <v>108</v>
      </c>
      <c r="J59" s="60"/>
      <c r="K59" s="30" t="s">
        <v>74</v>
      </c>
      <c r="L59" s="30" t="s">
        <v>75</v>
      </c>
      <c r="M59" s="30" t="s">
        <v>76</v>
      </c>
      <c r="N59" s="31" t="s">
        <v>32</v>
      </c>
      <c r="O59" s="25" t="s">
        <v>27</v>
      </c>
      <c r="P59" s="60" t="s">
        <v>108</v>
      </c>
      <c r="Q59" s="60"/>
      <c r="R59" s="30" t="s">
        <v>74</v>
      </c>
      <c r="S59" s="30" t="s">
        <v>75</v>
      </c>
      <c r="T59" s="30" t="s">
        <v>76</v>
      </c>
      <c r="U59" s="31" t="s">
        <v>32</v>
      </c>
      <c r="AA59" s="8"/>
      <c r="AB59" s="9"/>
      <c r="AC59" s="10"/>
    </row>
    <row r="60" spans="1:44" ht="15.6" customHeight="1" x14ac:dyDescent="0.25">
      <c r="A60" s="58" t="s">
        <v>68</v>
      </c>
      <c r="B60" s="26">
        <v>17.5</v>
      </c>
      <c r="C60" s="92">
        <f>AVERAGE(B60:B62)</f>
        <v>17.600000000000001</v>
      </c>
      <c r="D60" s="92">
        <v>39.9</v>
      </c>
      <c r="E60" s="92">
        <v>62.4</v>
      </c>
      <c r="F60" s="92">
        <v>54.3</v>
      </c>
      <c r="G60" s="91">
        <f>(E60-F60)/(F60-D60)*100</f>
        <v>56.250000000000014</v>
      </c>
      <c r="H60" s="58" t="s">
        <v>117</v>
      </c>
      <c r="I60" s="26">
        <v>16.3</v>
      </c>
      <c r="J60" s="58">
        <f>ROUND(AVERAGE(I60:I62),1)</f>
        <v>16.600000000000001</v>
      </c>
      <c r="K60" s="92">
        <v>40.5</v>
      </c>
      <c r="L60" s="92">
        <v>56.8</v>
      </c>
      <c r="M60" s="92">
        <v>51.5</v>
      </c>
      <c r="N60" s="91">
        <f>(L60-M60)/(M60-K60)*100</f>
        <v>48.181818181818151</v>
      </c>
      <c r="O60" s="58" t="s">
        <v>119</v>
      </c>
      <c r="P60" s="26">
        <v>14.3</v>
      </c>
      <c r="Q60" s="92">
        <f>AVERAGE(P60:P62)</f>
        <v>14.100000000000001</v>
      </c>
      <c r="R60" s="92">
        <v>53.4</v>
      </c>
      <c r="S60" s="92">
        <v>75.8</v>
      </c>
      <c r="T60" s="92">
        <v>69.599999999999994</v>
      </c>
      <c r="U60" s="91">
        <f>(S60-T60)/(T60-R60)*100</f>
        <v>38.271604938271629</v>
      </c>
      <c r="AA60" s="8"/>
      <c r="AB60" s="9"/>
      <c r="AC60" s="10"/>
    </row>
    <row r="61" spans="1:44" ht="15.6" customHeight="1" x14ac:dyDescent="0.25">
      <c r="A61" s="58"/>
      <c r="B61" s="26">
        <v>17.7</v>
      </c>
      <c r="C61" s="92"/>
      <c r="D61" s="92"/>
      <c r="E61" s="92"/>
      <c r="F61" s="92"/>
      <c r="G61" s="91"/>
      <c r="H61" s="58"/>
      <c r="I61" s="26">
        <v>16.8</v>
      </c>
      <c r="J61" s="58"/>
      <c r="K61" s="92"/>
      <c r="L61" s="92"/>
      <c r="M61" s="92"/>
      <c r="N61" s="91"/>
      <c r="O61" s="58"/>
      <c r="P61" s="26">
        <v>13.9</v>
      </c>
      <c r="Q61" s="92"/>
      <c r="R61" s="92"/>
      <c r="S61" s="92"/>
      <c r="T61" s="92"/>
      <c r="U61" s="91"/>
      <c r="AA61" s="8"/>
      <c r="AB61" s="9"/>
      <c r="AC61" s="10"/>
    </row>
    <row r="62" spans="1:44" ht="15.6" customHeight="1" x14ac:dyDescent="0.25">
      <c r="A62" s="58"/>
      <c r="B62" s="26"/>
      <c r="C62" s="92"/>
      <c r="D62" s="92"/>
      <c r="E62" s="92"/>
      <c r="F62" s="92"/>
      <c r="G62" s="91"/>
      <c r="H62" s="58"/>
      <c r="I62" s="26"/>
      <c r="J62" s="58"/>
      <c r="K62" s="92"/>
      <c r="L62" s="92"/>
      <c r="M62" s="92"/>
      <c r="N62" s="91"/>
      <c r="O62" s="58"/>
      <c r="P62" s="26"/>
      <c r="Q62" s="92"/>
      <c r="R62" s="92"/>
      <c r="S62" s="92"/>
      <c r="T62" s="92"/>
      <c r="U62" s="91"/>
      <c r="AA62" s="8"/>
      <c r="AB62" s="9"/>
      <c r="AC62" s="10"/>
    </row>
    <row r="63" spans="1:44" ht="15.6" customHeight="1" x14ac:dyDescent="0.25">
      <c r="A63" s="58" t="s">
        <v>35</v>
      </c>
      <c r="B63" s="26">
        <v>19.600000000000001</v>
      </c>
      <c r="C63" s="92">
        <f t="shared" ref="C63" si="18">AVERAGE(B63:B65)</f>
        <v>19.399999999999999</v>
      </c>
      <c r="D63" s="92">
        <v>47.7</v>
      </c>
      <c r="E63" s="92">
        <v>75.599999999999994</v>
      </c>
      <c r="F63" s="92">
        <v>65.400000000000006</v>
      </c>
      <c r="G63" s="91">
        <f t="shared" ref="G63" si="19">(E63-F63)/(F63-D63)*100</f>
        <v>57.627118644067721</v>
      </c>
      <c r="H63" s="58" t="s">
        <v>119</v>
      </c>
      <c r="I63" s="26">
        <v>20.100000000000001</v>
      </c>
      <c r="J63" s="58">
        <f t="shared" ref="J63" si="20">ROUND(AVERAGE(I63:I65),1)</f>
        <v>20.3</v>
      </c>
      <c r="K63" s="92">
        <v>45.7</v>
      </c>
      <c r="L63" s="92">
        <v>57.3</v>
      </c>
      <c r="M63" s="92">
        <v>53.4</v>
      </c>
      <c r="N63" s="91">
        <f t="shared" ref="N63" si="21">(L63-M63)/(M63-K63)*100</f>
        <v>50.649350649350652</v>
      </c>
      <c r="O63" s="58" t="s">
        <v>68</v>
      </c>
      <c r="P63" s="26">
        <v>15.9</v>
      </c>
      <c r="Q63" s="92">
        <f t="shared" ref="Q63" si="22">AVERAGE(P63:P65)</f>
        <v>15.95</v>
      </c>
      <c r="R63" s="92">
        <v>39.9</v>
      </c>
      <c r="S63" s="92">
        <v>65.5</v>
      </c>
      <c r="T63" s="92">
        <v>57.9</v>
      </c>
      <c r="U63" s="91">
        <f t="shared" ref="U63" si="23">(S63-T63)/(T63-R63)*100</f>
        <v>42.222222222222229</v>
      </c>
      <c r="AA63" s="8"/>
      <c r="AB63" s="9"/>
      <c r="AC63" s="10"/>
    </row>
    <row r="64" spans="1:44" ht="15.6" customHeight="1" x14ac:dyDescent="0.25">
      <c r="A64" s="58"/>
      <c r="B64" s="26">
        <v>19.2</v>
      </c>
      <c r="C64" s="92"/>
      <c r="D64" s="92"/>
      <c r="E64" s="92"/>
      <c r="F64" s="92"/>
      <c r="G64" s="91"/>
      <c r="H64" s="58"/>
      <c r="I64" s="26">
        <v>20.5</v>
      </c>
      <c r="J64" s="58"/>
      <c r="K64" s="92"/>
      <c r="L64" s="92"/>
      <c r="M64" s="92"/>
      <c r="N64" s="91"/>
      <c r="O64" s="58"/>
      <c r="P64" s="26">
        <v>16</v>
      </c>
      <c r="Q64" s="92"/>
      <c r="R64" s="92"/>
      <c r="S64" s="92"/>
      <c r="T64" s="92"/>
      <c r="U64" s="91"/>
      <c r="AA64" s="8"/>
      <c r="AB64" s="9"/>
      <c r="AC64" s="10"/>
    </row>
    <row r="65" spans="1:29" ht="15.6" customHeight="1" x14ac:dyDescent="0.25">
      <c r="A65" s="58"/>
      <c r="B65" s="26"/>
      <c r="C65" s="92"/>
      <c r="D65" s="92"/>
      <c r="E65" s="92"/>
      <c r="F65" s="92"/>
      <c r="G65" s="91"/>
      <c r="H65" s="58"/>
      <c r="I65" s="26"/>
      <c r="J65" s="58"/>
      <c r="K65" s="92"/>
      <c r="L65" s="92"/>
      <c r="M65" s="92"/>
      <c r="N65" s="91"/>
      <c r="O65" s="58"/>
      <c r="P65" s="26"/>
      <c r="Q65" s="92"/>
      <c r="R65" s="92"/>
      <c r="S65" s="92"/>
      <c r="T65" s="92"/>
      <c r="U65" s="91"/>
      <c r="AA65" s="8"/>
      <c r="AB65" s="9"/>
      <c r="AC65" s="10"/>
    </row>
    <row r="66" spans="1:29" ht="15.6" customHeight="1" x14ac:dyDescent="0.25">
      <c r="A66" s="58" t="s">
        <v>60</v>
      </c>
      <c r="B66" s="26">
        <v>21.4</v>
      </c>
      <c r="C66" s="92">
        <f t="shared" ref="C66" si="24">AVERAGE(B66:B68)</f>
        <v>21.733333333333331</v>
      </c>
      <c r="D66" s="92">
        <v>40.799999999999997</v>
      </c>
      <c r="E66" s="92">
        <v>67.400000000000006</v>
      </c>
      <c r="F66" s="92">
        <v>57.3</v>
      </c>
      <c r="G66" s="91">
        <f t="shared" ref="G66" si="25">(E66-F66)/(F66-D66)*100</f>
        <v>61.212121212121261</v>
      </c>
      <c r="H66" s="58" t="s">
        <v>121</v>
      </c>
      <c r="I66" s="26">
        <v>21.1</v>
      </c>
      <c r="J66" s="58">
        <f t="shared" ref="J66" si="26">ROUND(AVERAGE(I66:I68),1)</f>
        <v>21.5</v>
      </c>
      <c r="K66" s="92">
        <v>41.6</v>
      </c>
      <c r="L66" s="92">
        <v>60.6</v>
      </c>
      <c r="M66" s="92">
        <v>54.3</v>
      </c>
      <c r="N66" s="91">
        <f t="shared" ref="N66" si="27">(L66-M66)/(M66-K66)*100</f>
        <v>49.606299212598479</v>
      </c>
      <c r="O66" s="58" t="s">
        <v>83</v>
      </c>
      <c r="P66" s="26">
        <v>18.100000000000001</v>
      </c>
      <c r="Q66" s="92">
        <f t="shared" ref="Q66" si="28">AVERAGE(P66:P68)</f>
        <v>17.950000000000003</v>
      </c>
      <c r="R66" s="92">
        <v>42.7</v>
      </c>
      <c r="S66" s="92">
        <v>66.3</v>
      </c>
      <c r="T66" s="92">
        <v>59.1</v>
      </c>
      <c r="U66" s="91">
        <f t="shared" ref="U66" si="29">(S66-T66)/(T66-R66)*100</f>
        <v>43.902439024390219</v>
      </c>
      <c r="AA66" s="8"/>
      <c r="AB66" s="9"/>
      <c r="AC66" s="10"/>
    </row>
    <row r="67" spans="1:29" ht="15.6" customHeight="1" x14ac:dyDescent="0.25">
      <c r="A67" s="58"/>
      <c r="B67" s="26">
        <v>22.2</v>
      </c>
      <c r="C67" s="92"/>
      <c r="D67" s="92"/>
      <c r="E67" s="92"/>
      <c r="F67" s="92"/>
      <c r="G67" s="91"/>
      <c r="H67" s="58"/>
      <c r="I67" s="26">
        <v>21.9</v>
      </c>
      <c r="J67" s="58"/>
      <c r="K67" s="92"/>
      <c r="L67" s="92"/>
      <c r="M67" s="92"/>
      <c r="N67" s="91"/>
      <c r="O67" s="58"/>
      <c r="P67" s="26">
        <v>17.8</v>
      </c>
      <c r="Q67" s="92"/>
      <c r="R67" s="92"/>
      <c r="S67" s="92"/>
      <c r="T67" s="92"/>
      <c r="U67" s="91"/>
      <c r="AA67" s="8"/>
      <c r="AB67" s="9"/>
      <c r="AC67" s="10"/>
    </row>
    <row r="68" spans="1:29" ht="15.6" customHeight="1" x14ac:dyDescent="0.25">
      <c r="A68" s="58"/>
      <c r="B68" s="26">
        <v>21.6</v>
      </c>
      <c r="C68" s="92"/>
      <c r="D68" s="92"/>
      <c r="E68" s="92"/>
      <c r="F68" s="92"/>
      <c r="G68" s="91"/>
      <c r="H68" s="58"/>
      <c r="I68" s="26">
        <v>21.6</v>
      </c>
      <c r="J68" s="58"/>
      <c r="K68" s="92"/>
      <c r="L68" s="92"/>
      <c r="M68" s="92"/>
      <c r="N68" s="91"/>
      <c r="O68" s="58"/>
      <c r="P68" s="26"/>
      <c r="Q68" s="92"/>
      <c r="R68" s="92"/>
      <c r="S68" s="92"/>
      <c r="T68" s="92"/>
      <c r="U68" s="91"/>
      <c r="V68" s="104"/>
      <c r="W68" s="104"/>
      <c r="X68" s="104"/>
      <c r="Y68" s="104"/>
      <c r="Z68" s="104"/>
      <c r="AA68" s="104"/>
      <c r="AB68" s="104"/>
      <c r="AC68" s="12"/>
    </row>
    <row r="69" spans="1:29" ht="15.6" customHeight="1" x14ac:dyDescent="0.25">
      <c r="A69" s="58" t="s">
        <v>33</v>
      </c>
      <c r="B69" s="26">
        <v>23.2</v>
      </c>
      <c r="C69" s="92">
        <f t="shared" ref="C69" si="30">AVERAGE(B69:B71)</f>
        <v>23</v>
      </c>
      <c r="D69" s="92">
        <v>38.799999999999997</v>
      </c>
      <c r="E69" s="92">
        <v>63.7</v>
      </c>
      <c r="F69" s="92">
        <v>54.2</v>
      </c>
      <c r="G69" s="91">
        <f t="shared" ref="G69" si="31">(E69-F69)/(F69-D69)*100</f>
        <v>61.688311688311671</v>
      </c>
      <c r="H69" s="58" t="s">
        <v>123</v>
      </c>
      <c r="I69" s="26">
        <v>24.1</v>
      </c>
      <c r="J69" s="58">
        <f t="shared" ref="J69" si="32">ROUND(AVERAGE(I69:I71),1)</f>
        <v>24.7</v>
      </c>
      <c r="K69" s="92">
        <v>53.4</v>
      </c>
      <c r="L69" s="92">
        <v>76.5</v>
      </c>
      <c r="M69" s="92">
        <v>68.599999999999994</v>
      </c>
      <c r="N69" s="91">
        <f t="shared" ref="N69" si="33">(L69-M69)/(M69-K69)*100</f>
        <v>51.973684210526372</v>
      </c>
      <c r="O69" s="58" t="s">
        <v>60</v>
      </c>
      <c r="P69" s="26">
        <v>23.4</v>
      </c>
      <c r="Q69" s="92">
        <f t="shared" ref="Q69" si="34">AVERAGE(P69:P71)</f>
        <v>23.299999999999997</v>
      </c>
      <c r="R69" s="92">
        <v>40.799999999999997</v>
      </c>
      <c r="S69" s="92">
        <v>64.2</v>
      </c>
      <c r="T69" s="92">
        <v>56.7</v>
      </c>
      <c r="U69" s="91">
        <f t="shared" ref="U69" si="35">(S69-T69)/(T69-R69)*100</f>
        <v>47.169811320754704</v>
      </c>
    </row>
    <row r="70" spans="1:29" ht="15.6" customHeight="1" x14ac:dyDescent="0.25">
      <c r="A70" s="58"/>
      <c r="B70" s="26">
        <v>22.8</v>
      </c>
      <c r="C70" s="92"/>
      <c r="D70" s="92"/>
      <c r="E70" s="92"/>
      <c r="F70" s="92"/>
      <c r="G70" s="91"/>
      <c r="H70" s="58"/>
      <c r="I70" s="26">
        <v>25</v>
      </c>
      <c r="J70" s="58"/>
      <c r="K70" s="92"/>
      <c r="L70" s="92"/>
      <c r="M70" s="92"/>
      <c r="N70" s="91"/>
      <c r="O70" s="58"/>
      <c r="P70" s="26">
        <v>23.2</v>
      </c>
      <c r="Q70" s="92"/>
      <c r="R70" s="92"/>
      <c r="S70" s="92"/>
      <c r="T70" s="92"/>
      <c r="U70" s="91"/>
    </row>
    <row r="71" spans="1:29" ht="15.6" customHeight="1" x14ac:dyDescent="0.25">
      <c r="A71" s="58"/>
      <c r="B71" s="26"/>
      <c r="C71" s="92"/>
      <c r="D71" s="92"/>
      <c r="E71" s="92"/>
      <c r="F71" s="92"/>
      <c r="G71" s="91"/>
      <c r="H71" s="58"/>
      <c r="I71" s="26">
        <v>25</v>
      </c>
      <c r="J71" s="58"/>
      <c r="K71" s="92"/>
      <c r="L71" s="92"/>
      <c r="M71" s="92"/>
      <c r="N71" s="91"/>
      <c r="O71" s="58"/>
      <c r="P71" s="26"/>
      <c r="Q71" s="92"/>
      <c r="R71" s="92"/>
      <c r="S71" s="92"/>
      <c r="T71" s="92"/>
      <c r="U71" s="91"/>
    </row>
    <row r="72" spans="1:29" ht="15.6" customHeight="1" x14ac:dyDescent="0.25"/>
    <row r="73" spans="1:29" ht="15.6" customHeight="1" x14ac:dyDescent="0.25"/>
    <row r="74" spans="1:29" ht="15.6" customHeight="1" x14ac:dyDescent="0.25"/>
    <row r="75" spans="1:29" ht="15.6" customHeight="1" x14ac:dyDescent="0.25"/>
    <row r="76" spans="1:29" ht="15.6" customHeight="1" x14ac:dyDescent="0.25"/>
    <row r="77" spans="1:29" ht="15.6" customHeight="1" x14ac:dyDescent="0.25"/>
    <row r="78" spans="1:29" ht="15.6" customHeight="1" x14ac:dyDescent="0.25"/>
    <row r="79" spans="1:29" ht="15.6" customHeight="1" x14ac:dyDescent="0.25"/>
    <row r="80" spans="1:29" ht="15.6" customHeight="1" x14ac:dyDescent="0.25"/>
    <row r="81" spans="1:42" ht="15.6" customHeight="1" x14ac:dyDescent="0.25"/>
    <row r="82" spans="1:42" ht="15.6" customHeight="1" x14ac:dyDescent="0.25"/>
    <row r="83" spans="1:42" ht="15.6" customHeight="1" x14ac:dyDescent="0.25"/>
    <row r="84" spans="1:42" ht="15.6" customHeight="1" x14ac:dyDescent="0.25"/>
    <row r="85" spans="1:42" ht="15.6" customHeight="1" x14ac:dyDescent="0.25"/>
    <row r="86" spans="1:42" ht="15.6" customHeight="1" x14ac:dyDescent="0.25"/>
    <row r="87" spans="1:42" ht="15.6" customHeight="1" x14ac:dyDescent="0.25"/>
    <row r="88" spans="1:42" ht="15.6" customHeight="1" x14ac:dyDescent="0.25"/>
    <row r="89" spans="1:42" ht="15.6" customHeight="1" x14ac:dyDescent="0.25"/>
    <row r="90" spans="1:42" ht="15.6" customHeight="1" x14ac:dyDescent="0.25">
      <c r="B90" s="90" t="s">
        <v>136</v>
      </c>
      <c r="C90" s="90"/>
      <c r="D90" s="90"/>
      <c r="E90" s="71">
        <v>59</v>
      </c>
      <c r="F90" s="72"/>
      <c r="I90" s="90" t="s">
        <v>136</v>
      </c>
      <c r="J90" s="90"/>
      <c r="K90" s="90"/>
      <c r="L90" s="71">
        <v>50</v>
      </c>
      <c r="M90" s="72"/>
      <c r="P90" s="90" t="s">
        <v>136</v>
      </c>
      <c r="Q90" s="90"/>
      <c r="R90" s="90"/>
      <c r="S90" s="90">
        <v>45</v>
      </c>
      <c r="T90" s="90"/>
    </row>
    <row r="91" spans="1:42" ht="15.6" customHeight="1" x14ac:dyDescent="0.25">
      <c r="B91" s="90"/>
      <c r="C91" s="90"/>
      <c r="D91" s="90"/>
      <c r="E91" s="73"/>
      <c r="F91" s="74"/>
      <c r="I91" s="90"/>
      <c r="J91" s="90"/>
      <c r="K91" s="90"/>
      <c r="L91" s="73"/>
      <c r="M91" s="74"/>
      <c r="P91" s="90"/>
      <c r="Q91" s="90"/>
      <c r="R91" s="90"/>
      <c r="S91" s="90"/>
      <c r="T91" s="90"/>
    </row>
    <row r="92" spans="1:42" ht="15.6" customHeight="1" x14ac:dyDescent="0.25">
      <c r="B92" s="29"/>
      <c r="C92" s="29"/>
      <c r="D92" s="29"/>
      <c r="E92" s="29"/>
      <c r="F92" s="29"/>
      <c r="I92" s="29"/>
      <c r="J92" s="29"/>
      <c r="K92" s="29"/>
      <c r="L92" s="29"/>
      <c r="M92" s="29"/>
      <c r="P92" s="29"/>
      <c r="Q92" s="29"/>
      <c r="R92" s="29"/>
      <c r="S92" s="29"/>
      <c r="T92" s="29"/>
    </row>
    <row r="93" spans="1:42" ht="15.6" customHeight="1" x14ac:dyDescent="0.25">
      <c r="A93" s="68" t="s">
        <v>110</v>
      </c>
      <c r="B93" s="68"/>
      <c r="C93" s="68"/>
      <c r="D93" s="68"/>
      <c r="E93" s="68"/>
      <c r="F93" s="68"/>
      <c r="G93" s="68"/>
      <c r="H93" s="68" t="s">
        <v>125</v>
      </c>
      <c r="I93" s="68"/>
      <c r="J93" s="68"/>
      <c r="K93" s="68"/>
      <c r="L93" s="68"/>
      <c r="M93" s="68"/>
      <c r="N93" s="68"/>
      <c r="O93" s="68" t="s">
        <v>129</v>
      </c>
      <c r="P93" s="68"/>
      <c r="Q93" s="68"/>
      <c r="R93" s="68"/>
      <c r="S93" s="68"/>
      <c r="T93" s="68"/>
      <c r="U93" s="68"/>
      <c r="V93" s="33"/>
      <c r="W93" s="29"/>
      <c r="X93" s="29"/>
      <c r="Y93" s="29"/>
      <c r="Z93" s="29"/>
      <c r="AA93" s="18">
        <f>(20+32.043)/88.651*100</f>
        <v>58.705485555718496</v>
      </c>
      <c r="AB93" s="20">
        <v>0</v>
      </c>
      <c r="AC93" s="37"/>
      <c r="AD93" s="20"/>
      <c r="AE93" s="20"/>
      <c r="AF93" s="20"/>
      <c r="AG93" s="18">
        <f>(20+74.719)/190.6*100</f>
        <v>49.69517313746065</v>
      </c>
      <c r="AH93" s="37">
        <v>0</v>
      </c>
      <c r="AI93" s="20"/>
      <c r="AJ93" s="37"/>
      <c r="AK93" s="20"/>
      <c r="AL93" s="20"/>
      <c r="AM93" s="20"/>
      <c r="AN93" s="18">
        <f>(20+26.002)/102.18*100</f>
        <v>45.020551967116845</v>
      </c>
      <c r="AO93" s="37">
        <v>0</v>
      </c>
      <c r="AP93" s="29"/>
    </row>
    <row r="94" spans="1:42" ht="15.6" customHeight="1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33"/>
      <c r="W94" s="33"/>
      <c r="X94" s="33"/>
      <c r="Y94" s="51"/>
      <c r="Z94" s="51"/>
      <c r="AA94" s="18">
        <f>(20+32.043)/88.651*100</f>
        <v>58.705485555718496</v>
      </c>
      <c r="AB94" s="20">
        <v>20</v>
      </c>
      <c r="AC94" s="37"/>
      <c r="AD94" s="37"/>
      <c r="AE94" s="37"/>
      <c r="AF94" s="37"/>
      <c r="AG94" s="18">
        <f>(20+74.719)/190.6*100</f>
        <v>49.69517313746065</v>
      </c>
      <c r="AH94" s="37">
        <v>20</v>
      </c>
      <c r="AI94" s="20"/>
      <c r="AJ94" s="37"/>
      <c r="AK94" s="37"/>
      <c r="AL94" s="37"/>
      <c r="AM94" s="37"/>
      <c r="AN94" s="18">
        <f>(20+26.002)/102.18*100</f>
        <v>45.020551967116845</v>
      </c>
      <c r="AO94" s="37">
        <v>20</v>
      </c>
      <c r="AP94" s="29"/>
    </row>
    <row r="95" spans="1:42" ht="15.6" customHeight="1" x14ac:dyDescent="0.25">
      <c r="A95" s="68" t="s">
        <v>0</v>
      </c>
      <c r="B95" s="68"/>
      <c r="C95" s="68"/>
      <c r="D95" s="68"/>
      <c r="E95" s="68"/>
      <c r="F95" s="68"/>
      <c r="G95" s="68"/>
      <c r="H95" s="68" t="s">
        <v>0</v>
      </c>
      <c r="I95" s="68"/>
      <c r="J95" s="68"/>
      <c r="K95" s="68"/>
      <c r="L95" s="68"/>
      <c r="M95" s="68"/>
      <c r="N95" s="68"/>
      <c r="O95" s="68" t="s">
        <v>0</v>
      </c>
      <c r="P95" s="68"/>
      <c r="Q95" s="68"/>
      <c r="R95" s="68"/>
      <c r="S95" s="68"/>
      <c r="T95" s="68"/>
      <c r="U95" s="68"/>
      <c r="V95" s="33"/>
      <c r="W95" s="33"/>
      <c r="X95" s="33"/>
      <c r="Y95" s="51"/>
      <c r="Z95" s="51"/>
      <c r="AA95" s="18">
        <v>0</v>
      </c>
      <c r="AB95" s="20">
        <v>20</v>
      </c>
      <c r="AC95" s="37"/>
      <c r="AD95" s="37"/>
      <c r="AE95" s="37"/>
      <c r="AF95" s="37"/>
      <c r="AG95" s="18">
        <v>0</v>
      </c>
      <c r="AH95" s="20">
        <v>20</v>
      </c>
      <c r="AI95" s="20"/>
      <c r="AJ95" s="37"/>
      <c r="AK95" s="37"/>
      <c r="AL95" s="37"/>
      <c r="AM95" s="37"/>
      <c r="AN95" s="18">
        <v>0</v>
      </c>
      <c r="AO95" s="20">
        <v>20</v>
      </c>
      <c r="AP95" s="29"/>
    </row>
    <row r="96" spans="1:42" ht="15.6" customHeight="1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8" ht="15.6" customHeight="1" x14ac:dyDescent="0.25">
      <c r="K97" s="51"/>
      <c r="L97" s="51"/>
      <c r="M97" s="51"/>
      <c r="R97" s="51"/>
      <c r="S97" s="51"/>
      <c r="T97" s="51"/>
    </row>
    <row r="98" spans="1:28" ht="15.6" customHeight="1" x14ac:dyDescent="0.25">
      <c r="A98" s="65" t="s">
        <v>132</v>
      </c>
      <c r="B98" s="65"/>
      <c r="C98" s="65"/>
      <c r="D98" s="65"/>
      <c r="E98" s="65"/>
      <c r="F98" s="65"/>
      <c r="G98" s="65"/>
      <c r="H98" s="65" t="s">
        <v>132</v>
      </c>
      <c r="I98" s="65"/>
      <c r="J98" s="65"/>
      <c r="K98" s="65"/>
      <c r="L98" s="65"/>
      <c r="M98" s="65"/>
      <c r="N98" s="65"/>
      <c r="O98" s="65" t="s">
        <v>132</v>
      </c>
      <c r="P98" s="65"/>
      <c r="Q98" s="65"/>
      <c r="R98" s="65"/>
      <c r="S98" s="65"/>
      <c r="T98" s="65"/>
      <c r="U98" s="65"/>
    </row>
    <row r="99" spans="1:28" ht="15.6" customHeight="1" x14ac:dyDescent="0.25">
      <c r="K99" s="51"/>
      <c r="L99" s="51"/>
      <c r="M99" s="51"/>
      <c r="R99" s="51"/>
      <c r="S99" s="51"/>
      <c r="T99" s="51"/>
    </row>
    <row r="100" spans="1:28" ht="15.6" customHeight="1" x14ac:dyDescent="0.25">
      <c r="D100" s="51" t="s">
        <v>1</v>
      </c>
      <c r="F100" s="93" t="s">
        <v>139</v>
      </c>
      <c r="G100" s="93"/>
      <c r="K100" s="51" t="s">
        <v>1</v>
      </c>
      <c r="L100" s="51"/>
      <c r="M100" s="93" t="s">
        <v>139</v>
      </c>
      <c r="N100" s="93"/>
      <c r="R100" s="51" t="s">
        <v>1</v>
      </c>
      <c r="S100" s="51"/>
      <c r="T100" s="93" t="s">
        <v>139</v>
      </c>
      <c r="U100" s="93"/>
    </row>
    <row r="101" spans="1:28" ht="15.6" customHeight="1" x14ac:dyDescent="0.25">
      <c r="A101" s="65" t="s">
        <v>25</v>
      </c>
      <c r="B101" s="65"/>
      <c r="C101" s="65"/>
      <c r="D101" s="93" t="s">
        <v>52</v>
      </c>
      <c r="E101" s="93"/>
      <c r="F101" s="93"/>
      <c r="H101" s="65" t="s">
        <v>25</v>
      </c>
      <c r="I101" s="65"/>
      <c r="J101" s="65"/>
      <c r="K101" s="65" t="s">
        <v>54</v>
      </c>
      <c r="L101" s="65"/>
      <c r="M101" s="65"/>
      <c r="N101" s="65"/>
      <c r="O101" s="65" t="s">
        <v>25</v>
      </c>
      <c r="P101" s="65"/>
      <c r="Q101" s="65"/>
      <c r="R101" s="65" t="s">
        <v>56</v>
      </c>
      <c r="S101" s="65"/>
      <c r="T101" s="65"/>
      <c r="U101" s="65"/>
    </row>
    <row r="102" spans="1:28" ht="15.6" customHeight="1" x14ac:dyDescent="0.25">
      <c r="A102" s="65" t="s">
        <v>44</v>
      </c>
      <c r="B102" s="65"/>
      <c r="C102" s="65"/>
      <c r="D102" s="93" t="s">
        <v>53</v>
      </c>
      <c r="E102" s="93"/>
      <c r="F102" s="93"/>
      <c r="H102" s="65" t="s">
        <v>44</v>
      </c>
      <c r="I102" s="65"/>
      <c r="J102" s="65"/>
      <c r="K102" s="65" t="s">
        <v>36</v>
      </c>
      <c r="L102" s="65"/>
      <c r="M102" s="65"/>
      <c r="N102" s="65"/>
      <c r="O102" s="65" t="s">
        <v>44</v>
      </c>
      <c r="P102" s="65"/>
      <c r="Q102" s="65"/>
      <c r="R102" s="65" t="s">
        <v>55</v>
      </c>
      <c r="S102" s="65"/>
      <c r="T102" s="65"/>
      <c r="U102" s="65"/>
      <c r="V102" s="54"/>
    </row>
    <row r="103" spans="1:28" ht="15.6" customHeight="1" x14ac:dyDescent="0.25">
      <c r="K103" s="51"/>
      <c r="L103" s="51"/>
      <c r="M103" s="51"/>
      <c r="R103" s="51"/>
      <c r="S103" s="51"/>
      <c r="T103" s="51"/>
      <c r="V103" s="54"/>
    </row>
    <row r="104" spans="1:28" ht="15.6" customHeight="1" x14ac:dyDescent="0.25">
      <c r="K104" s="51"/>
      <c r="L104" s="51"/>
      <c r="M104" s="51"/>
      <c r="R104" s="51"/>
      <c r="S104" s="51"/>
      <c r="T104" s="51"/>
      <c r="V104" s="54"/>
    </row>
    <row r="105" spans="1:28" ht="48" customHeight="1" x14ac:dyDescent="0.25">
      <c r="A105" s="25" t="s">
        <v>27</v>
      </c>
      <c r="B105" s="100" t="s">
        <v>108</v>
      </c>
      <c r="C105" s="101"/>
      <c r="D105" s="30" t="s">
        <v>74</v>
      </c>
      <c r="E105" s="30" t="s">
        <v>75</v>
      </c>
      <c r="F105" s="30" t="s">
        <v>76</v>
      </c>
      <c r="G105" s="31" t="s">
        <v>32</v>
      </c>
      <c r="H105" s="25" t="s">
        <v>27</v>
      </c>
      <c r="I105" s="60" t="s">
        <v>108</v>
      </c>
      <c r="J105" s="60"/>
      <c r="K105" s="30" t="s">
        <v>74</v>
      </c>
      <c r="L105" s="30" t="s">
        <v>75</v>
      </c>
      <c r="M105" s="30" t="s">
        <v>76</v>
      </c>
      <c r="N105" s="31" t="s">
        <v>32</v>
      </c>
      <c r="O105" s="25" t="s">
        <v>27</v>
      </c>
      <c r="P105" s="60" t="s">
        <v>108</v>
      </c>
      <c r="Q105" s="60"/>
      <c r="R105" s="30" t="s">
        <v>74</v>
      </c>
      <c r="S105" s="30" t="s">
        <v>75</v>
      </c>
      <c r="T105" s="30" t="s">
        <v>76</v>
      </c>
      <c r="U105" s="31" t="s">
        <v>32</v>
      </c>
      <c r="V105" s="54"/>
    </row>
    <row r="106" spans="1:28" ht="15.6" customHeight="1" x14ac:dyDescent="0.25">
      <c r="A106" s="94" t="s">
        <v>61</v>
      </c>
      <c r="B106" s="26">
        <v>16</v>
      </c>
      <c r="C106" s="97">
        <f>AVERAGE(B106:B108)</f>
        <v>16.3</v>
      </c>
      <c r="D106" s="97">
        <v>40.700000000000003</v>
      </c>
      <c r="E106" s="97">
        <v>63.9</v>
      </c>
      <c r="F106" s="97">
        <v>55.8</v>
      </c>
      <c r="G106" s="91">
        <f>(E106-F106)/(F106-D106)*100</f>
        <v>53.642384105960296</v>
      </c>
      <c r="H106" s="58" t="s">
        <v>83</v>
      </c>
      <c r="I106" s="26">
        <v>14.9</v>
      </c>
      <c r="J106" s="92">
        <f>AVERAGE(I106:I108)</f>
        <v>15.100000000000001</v>
      </c>
      <c r="K106" s="92">
        <v>42.7</v>
      </c>
      <c r="L106" s="92">
        <v>52.9</v>
      </c>
      <c r="M106" s="92">
        <v>49.7</v>
      </c>
      <c r="N106" s="91">
        <f>(L106-M106)/(M106-K106)*100</f>
        <v>45.714285714285651</v>
      </c>
      <c r="O106" s="58" t="s">
        <v>62</v>
      </c>
      <c r="P106" s="26">
        <v>17.3</v>
      </c>
      <c r="Q106" s="92">
        <f>AVERAGE(P106:P108)</f>
        <v>17.3</v>
      </c>
      <c r="R106" s="92">
        <v>40.700000000000003</v>
      </c>
      <c r="S106" s="92">
        <v>59.8</v>
      </c>
      <c r="T106" s="92">
        <v>54.2</v>
      </c>
      <c r="U106" s="91">
        <f>(S106-T106)/(T106-R106)*100</f>
        <v>41.481481481481438</v>
      </c>
      <c r="V106" s="54"/>
    </row>
    <row r="107" spans="1:28" ht="15.6" customHeight="1" x14ac:dyDescent="0.25">
      <c r="A107" s="95"/>
      <c r="B107" s="26">
        <v>16.7</v>
      </c>
      <c r="C107" s="98"/>
      <c r="D107" s="98"/>
      <c r="E107" s="98"/>
      <c r="F107" s="98"/>
      <c r="G107" s="91"/>
      <c r="H107" s="58"/>
      <c r="I107" s="26">
        <v>15.3</v>
      </c>
      <c r="J107" s="92"/>
      <c r="K107" s="92"/>
      <c r="L107" s="92"/>
      <c r="M107" s="92"/>
      <c r="N107" s="91"/>
      <c r="O107" s="58"/>
      <c r="P107" s="26">
        <v>17.3</v>
      </c>
      <c r="Q107" s="92"/>
      <c r="R107" s="92"/>
      <c r="S107" s="92"/>
      <c r="T107" s="92"/>
      <c r="U107" s="91"/>
      <c r="V107" s="54"/>
    </row>
    <row r="108" spans="1:28" ht="15.6" customHeight="1" x14ac:dyDescent="0.25">
      <c r="A108" s="96"/>
      <c r="B108" s="26">
        <v>16.2</v>
      </c>
      <c r="C108" s="99"/>
      <c r="D108" s="99"/>
      <c r="E108" s="99"/>
      <c r="F108" s="99"/>
      <c r="G108" s="91"/>
      <c r="H108" s="58"/>
      <c r="I108" s="26"/>
      <c r="J108" s="92"/>
      <c r="K108" s="92"/>
      <c r="L108" s="92"/>
      <c r="M108" s="92"/>
      <c r="N108" s="91"/>
      <c r="O108" s="58"/>
      <c r="P108" s="26"/>
      <c r="Q108" s="92"/>
      <c r="R108" s="92"/>
      <c r="S108" s="92"/>
      <c r="T108" s="92"/>
      <c r="U108" s="91"/>
      <c r="V108" s="80"/>
      <c r="W108" s="80"/>
      <c r="X108" s="80"/>
      <c r="Y108" s="80"/>
      <c r="Z108" s="80"/>
      <c r="AB108" s="9"/>
    </row>
    <row r="109" spans="1:28" ht="15.6" customHeight="1" x14ac:dyDescent="0.25">
      <c r="A109" s="94" t="s">
        <v>38</v>
      </c>
      <c r="B109" s="26">
        <v>18.100000000000001</v>
      </c>
      <c r="C109" s="97">
        <f t="shared" ref="C109" si="36">AVERAGE(B109:B111)</f>
        <v>18.05</v>
      </c>
      <c r="D109" s="97">
        <v>48</v>
      </c>
      <c r="E109" s="97">
        <v>73.2</v>
      </c>
      <c r="F109" s="97">
        <v>64.2</v>
      </c>
      <c r="G109" s="91">
        <f t="shared" ref="G109" si="37">(E109-F109)/(F109-D109)*100</f>
        <v>55.55555555555555</v>
      </c>
      <c r="H109" s="58" t="s">
        <v>84</v>
      </c>
      <c r="I109" s="26">
        <v>17</v>
      </c>
      <c r="J109" s="92">
        <f t="shared" ref="J109" si="38">AVERAGE(I109:I111)</f>
        <v>16.95</v>
      </c>
      <c r="K109" s="92">
        <v>39.799999999999997</v>
      </c>
      <c r="L109" s="92">
        <v>57.1</v>
      </c>
      <c r="M109" s="92">
        <v>51.6</v>
      </c>
      <c r="N109" s="91">
        <f t="shared" ref="N109" si="39">(L109-M109)/(M109-K109)*100</f>
        <v>46.610169491525404</v>
      </c>
      <c r="O109" s="58" t="s">
        <v>121</v>
      </c>
      <c r="P109" s="26">
        <v>17.5</v>
      </c>
      <c r="Q109" s="92">
        <f t="shared" ref="Q109" si="40">AVERAGE(P109:P111)</f>
        <v>17.399999999999999</v>
      </c>
      <c r="R109" s="92">
        <v>41.6</v>
      </c>
      <c r="S109" s="92">
        <v>68.2</v>
      </c>
      <c r="T109" s="92">
        <v>60.5</v>
      </c>
      <c r="U109" s="91">
        <f t="shared" ref="U109" si="41">(S109-T109)/(T109-R109)*100</f>
        <v>40.740740740740762</v>
      </c>
    </row>
    <row r="110" spans="1:28" ht="15.6" customHeight="1" x14ac:dyDescent="0.25">
      <c r="A110" s="95"/>
      <c r="B110" s="26">
        <v>18</v>
      </c>
      <c r="C110" s="98"/>
      <c r="D110" s="98"/>
      <c r="E110" s="98"/>
      <c r="F110" s="98"/>
      <c r="G110" s="91"/>
      <c r="H110" s="58"/>
      <c r="I110" s="26">
        <v>16.899999999999999</v>
      </c>
      <c r="J110" s="92"/>
      <c r="K110" s="92"/>
      <c r="L110" s="92"/>
      <c r="M110" s="92"/>
      <c r="N110" s="91"/>
      <c r="O110" s="58"/>
      <c r="P110" s="26">
        <v>17.3</v>
      </c>
      <c r="Q110" s="92"/>
      <c r="R110" s="92"/>
      <c r="S110" s="92"/>
      <c r="T110" s="92"/>
      <c r="U110" s="91"/>
    </row>
    <row r="111" spans="1:28" ht="15.6" customHeight="1" x14ac:dyDescent="0.25">
      <c r="A111" s="96"/>
      <c r="B111" s="26"/>
      <c r="C111" s="99"/>
      <c r="D111" s="99"/>
      <c r="E111" s="99"/>
      <c r="F111" s="99"/>
      <c r="G111" s="91"/>
      <c r="H111" s="58"/>
      <c r="I111" s="26"/>
      <c r="J111" s="92"/>
      <c r="K111" s="92"/>
      <c r="L111" s="92"/>
      <c r="M111" s="92"/>
      <c r="N111" s="91"/>
      <c r="O111" s="58"/>
      <c r="P111" s="26"/>
      <c r="Q111" s="92"/>
      <c r="R111" s="92"/>
      <c r="S111" s="92"/>
      <c r="T111" s="92"/>
      <c r="U111" s="91"/>
    </row>
    <row r="112" spans="1:28" ht="15.6" customHeight="1" x14ac:dyDescent="0.25">
      <c r="A112" s="94" t="s">
        <v>34</v>
      </c>
      <c r="B112" s="26">
        <v>20.3</v>
      </c>
      <c r="C112" s="97">
        <f t="shared" ref="C112" si="42">AVERAGE(B112:B114)</f>
        <v>20.3</v>
      </c>
      <c r="D112" s="97">
        <v>44.8</v>
      </c>
      <c r="E112" s="97">
        <v>75.3</v>
      </c>
      <c r="F112" s="97">
        <v>64.099999999999994</v>
      </c>
      <c r="G112" s="91">
        <f t="shared" ref="G112" si="43">(E112-F112)/(F112-D112)*100</f>
        <v>58.031088082901583</v>
      </c>
      <c r="H112" s="58" t="s">
        <v>85</v>
      </c>
      <c r="I112" s="26">
        <v>19.8</v>
      </c>
      <c r="J112" s="92">
        <f t="shared" ref="J112" si="44">AVERAGE(I112:I114)</f>
        <v>19.600000000000001</v>
      </c>
      <c r="K112" s="92">
        <v>48.5</v>
      </c>
      <c r="L112" s="92">
        <v>68.3</v>
      </c>
      <c r="M112" s="92">
        <v>61.8</v>
      </c>
      <c r="N112" s="91">
        <f t="shared" ref="N112" si="45">(L112-M112)/(M112-K112)*100</f>
        <v>48.872180451127825</v>
      </c>
      <c r="O112" s="58" t="s">
        <v>89</v>
      </c>
      <c r="P112" s="26">
        <v>19.2</v>
      </c>
      <c r="Q112" s="92">
        <f t="shared" ref="Q112" si="46">AVERAGE(P112:P114)</f>
        <v>19.049999999999997</v>
      </c>
      <c r="R112" s="92">
        <v>45.8</v>
      </c>
      <c r="S112" s="92">
        <v>63.9</v>
      </c>
      <c r="T112" s="92">
        <v>58.4</v>
      </c>
      <c r="U112" s="91">
        <f t="shared" ref="U112" si="47">(S112-T112)/(T112-R112)*100</f>
        <v>43.650793650793645</v>
      </c>
    </row>
    <row r="113" spans="1:40" ht="15.6" customHeight="1" x14ac:dyDescent="0.25">
      <c r="A113" s="95"/>
      <c r="B113" s="26">
        <v>20.3</v>
      </c>
      <c r="C113" s="98"/>
      <c r="D113" s="98"/>
      <c r="E113" s="98"/>
      <c r="F113" s="98"/>
      <c r="G113" s="91"/>
      <c r="H113" s="58"/>
      <c r="I113" s="26">
        <v>19.399999999999999</v>
      </c>
      <c r="J113" s="92"/>
      <c r="K113" s="92"/>
      <c r="L113" s="92"/>
      <c r="M113" s="92"/>
      <c r="N113" s="91"/>
      <c r="O113" s="58"/>
      <c r="P113" s="26">
        <v>18.899999999999999</v>
      </c>
      <c r="Q113" s="92"/>
      <c r="R113" s="92"/>
      <c r="S113" s="92"/>
      <c r="T113" s="92"/>
      <c r="U113" s="91"/>
    </row>
    <row r="114" spans="1:40" ht="15.6" customHeight="1" x14ac:dyDescent="0.25">
      <c r="A114" s="96"/>
      <c r="B114" s="26"/>
      <c r="C114" s="99"/>
      <c r="D114" s="99"/>
      <c r="E114" s="99"/>
      <c r="F114" s="99"/>
      <c r="G114" s="91"/>
      <c r="H114" s="58"/>
      <c r="I114" s="26"/>
      <c r="J114" s="92"/>
      <c r="K114" s="92"/>
      <c r="L114" s="92"/>
      <c r="M114" s="92"/>
      <c r="N114" s="91"/>
      <c r="O114" s="58"/>
      <c r="P114" s="26"/>
      <c r="Q114" s="92"/>
      <c r="R114" s="92"/>
      <c r="S114" s="92"/>
      <c r="T114" s="92"/>
      <c r="U114" s="91"/>
    </row>
    <row r="115" spans="1:40" ht="15.6" customHeight="1" x14ac:dyDescent="0.25">
      <c r="A115" s="94" t="s">
        <v>63</v>
      </c>
      <c r="B115" s="26">
        <v>22.6</v>
      </c>
      <c r="C115" s="97">
        <f t="shared" ref="C115" si="48">AVERAGE(B115:B117)</f>
        <v>22.700000000000003</v>
      </c>
      <c r="D115" s="97">
        <v>38.299999999999997</v>
      </c>
      <c r="E115" s="97">
        <v>72.099999999999994</v>
      </c>
      <c r="F115" s="97">
        <v>59.2</v>
      </c>
      <c r="G115" s="91">
        <f t="shared" ref="G115" si="49">(E115-F115)/(F115-D115)*100</f>
        <v>61.722488038277454</v>
      </c>
      <c r="H115" s="58" t="s">
        <v>86</v>
      </c>
      <c r="I115" s="26">
        <v>22.1</v>
      </c>
      <c r="J115" s="92">
        <f t="shared" ref="J115" si="50">AVERAGE(I115:I117)</f>
        <v>23.2</v>
      </c>
      <c r="K115" s="92">
        <v>46.3</v>
      </c>
      <c r="L115" s="92">
        <v>66.8</v>
      </c>
      <c r="M115" s="92">
        <v>59.9</v>
      </c>
      <c r="N115" s="91">
        <f t="shared" ref="N115" si="51">(L115-M115)/(M115-K115)*100</f>
        <v>50.735294117647044</v>
      </c>
      <c r="O115" s="58" t="s">
        <v>122</v>
      </c>
      <c r="P115" s="26">
        <v>22</v>
      </c>
      <c r="Q115" s="92">
        <f t="shared" ref="Q115" si="52">AVERAGE(P115:P117)</f>
        <v>21.9</v>
      </c>
      <c r="R115" s="92">
        <v>39.1</v>
      </c>
      <c r="S115" s="92">
        <v>56</v>
      </c>
      <c r="T115" s="92">
        <v>50.6</v>
      </c>
      <c r="U115" s="91">
        <f t="shared" ref="U115" si="53">(S115-T115)/(T115-R115)*100</f>
        <v>46.956521739130423</v>
      </c>
    </row>
    <row r="116" spans="1:40" ht="15.6" customHeight="1" x14ac:dyDescent="0.25">
      <c r="A116" s="95"/>
      <c r="B116" s="26">
        <v>22.8</v>
      </c>
      <c r="C116" s="98"/>
      <c r="D116" s="98"/>
      <c r="E116" s="98"/>
      <c r="F116" s="98"/>
      <c r="G116" s="91"/>
      <c r="H116" s="58"/>
      <c r="I116" s="26">
        <v>22.5</v>
      </c>
      <c r="J116" s="92"/>
      <c r="K116" s="92"/>
      <c r="L116" s="92"/>
      <c r="M116" s="92"/>
      <c r="N116" s="91"/>
      <c r="O116" s="58"/>
      <c r="P116" s="26">
        <v>21.8</v>
      </c>
      <c r="Q116" s="92"/>
      <c r="R116" s="92"/>
      <c r="S116" s="92"/>
      <c r="T116" s="92"/>
      <c r="U116" s="91"/>
    </row>
    <row r="117" spans="1:40" ht="15.6" customHeight="1" x14ac:dyDescent="0.25">
      <c r="A117" s="96"/>
      <c r="B117" s="26"/>
      <c r="C117" s="99"/>
      <c r="D117" s="99"/>
      <c r="E117" s="99"/>
      <c r="F117" s="99"/>
      <c r="G117" s="91"/>
      <c r="H117" s="58"/>
      <c r="I117" s="26">
        <v>25</v>
      </c>
      <c r="J117" s="92"/>
      <c r="K117" s="92"/>
      <c r="L117" s="92"/>
      <c r="M117" s="92"/>
      <c r="N117" s="91"/>
      <c r="O117" s="58"/>
      <c r="P117" s="26"/>
      <c r="Q117" s="92"/>
      <c r="R117" s="92"/>
      <c r="S117" s="92"/>
      <c r="T117" s="92"/>
      <c r="U117" s="91"/>
    </row>
    <row r="118" spans="1:40" ht="15.6" customHeight="1" x14ac:dyDescent="0.25"/>
    <row r="119" spans="1:40" ht="15.6" customHeight="1" x14ac:dyDescent="0.25"/>
    <row r="120" spans="1:40" ht="15.6" customHeight="1" x14ac:dyDescent="0.25"/>
    <row r="121" spans="1:40" ht="15.6" customHeight="1" x14ac:dyDescent="0.25"/>
    <row r="122" spans="1:40" ht="15.6" customHeight="1" x14ac:dyDescent="0.25"/>
    <row r="123" spans="1:40" ht="15.6" customHeight="1" x14ac:dyDescent="0.25">
      <c r="AG123" s="14"/>
      <c r="AH123" s="14"/>
      <c r="AI123" s="14"/>
      <c r="AJ123" s="14"/>
      <c r="AK123" s="14"/>
      <c r="AL123" s="14"/>
      <c r="AM123" s="14"/>
      <c r="AN123" s="12"/>
    </row>
    <row r="124" spans="1:40" ht="15.6" customHeight="1" x14ac:dyDescent="0.25">
      <c r="AG124" s="14"/>
      <c r="AH124" s="14"/>
      <c r="AI124" s="14"/>
      <c r="AJ124" s="14"/>
      <c r="AK124" s="14"/>
      <c r="AL124" s="14"/>
      <c r="AM124" s="14"/>
      <c r="AN124" s="12"/>
    </row>
    <row r="125" spans="1:40" ht="15.6" customHeight="1" x14ac:dyDescent="0.25">
      <c r="AN125" s="10"/>
    </row>
    <row r="126" spans="1:40" ht="15.6" customHeight="1" x14ac:dyDescent="0.25">
      <c r="AN126" s="10"/>
    </row>
    <row r="127" spans="1:40" ht="15.6" customHeight="1" x14ac:dyDescent="0.25">
      <c r="AN127" s="10"/>
    </row>
    <row r="128" spans="1:40" ht="15.6" customHeight="1" x14ac:dyDescent="0.25">
      <c r="AN128" s="10"/>
    </row>
    <row r="129" spans="1:42" ht="15.6" customHeight="1" x14ac:dyDescent="0.25">
      <c r="AN129" s="10"/>
    </row>
    <row r="130" spans="1:42" ht="15.6" customHeight="1" x14ac:dyDescent="0.25">
      <c r="AN130" s="10"/>
    </row>
    <row r="131" spans="1:42" ht="15.6" customHeight="1" x14ac:dyDescent="0.25">
      <c r="AN131" s="10"/>
    </row>
    <row r="132" spans="1:42" ht="15.6" customHeight="1" x14ac:dyDescent="0.25">
      <c r="AN132" s="10"/>
    </row>
    <row r="133" spans="1:42" ht="15.6" customHeight="1" x14ac:dyDescent="0.25">
      <c r="AN133" s="10"/>
    </row>
    <row r="134" spans="1:42" ht="15.6" customHeight="1" x14ac:dyDescent="0.25">
      <c r="AN134" s="10"/>
    </row>
    <row r="135" spans="1:42" ht="15.6" customHeight="1" x14ac:dyDescent="0.25">
      <c r="AN135" s="10"/>
    </row>
    <row r="136" spans="1:42" ht="15.6" customHeight="1" x14ac:dyDescent="0.25">
      <c r="B136" s="90" t="s">
        <v>136</v>
      </c>
      <c r="C136" s="90"/>
      <c r="D136" s="90"/>
      <c r="E136" s="71">
        <v>58</v>
      </c>
      <c r="F136" s="72"/>
      <c r="I136" s="90" t="s">
        <v>136</v>
      </c>
      <c r="J136" s="90"/>
      <c r="K136" s="90"/>
      <c r="L136" s="71">
        <v>49</v>
      </c>
      <c r="M136" s="72"/>
      <c r="P136" s="71" t="s">
        <v>136</v>
      </c>
      <c r="Q136" s="102"/>
      <c r="R136" s="72"/>
      <c r="S136" s="71">
        <v>45</v>
      </c>
      <c r="T136" s="72"/>
      <c r="AN136" s="10"/>
    </row>
    <row r="137" spans="1:42" ht="15.6" customHeight="1" x14ac:dyDescent="0.25">
      <c r="B137" s="90"/>
      <c r="C137" s="90"/>
      <c r="D137" s="90"/>
      <c r="E137" s="73"/>
      <c r="F137" s="74"/>
      <c r="I137" s="90"/>
      <c r="J137" s="90"/>
      <c r="K137" s="90"/>
      <c r="L137" s="73"/>
      <c r="M137" s="74"/>
      <c r="P137" s="73"/>
      <c r="Q137" s="103"/>
      <c r="R137" s="74"/>
      <c r="S137" s="73"/>
      <c r="T137" s="74"/>
      <c r="AN137" s="10"/>
    </row>
    <row r="138" spans="1:42" ht="15.6" customHeight="1" x14ac:dyDescent="0.25">
      <c r="V138" s="33"/>
      <c r="W138" s="29"/>
      <c r="X138" s="29"/>
      <c r="Y138" s="29"/>
      <c r="Z138" s="19">
        <f>(20+26.031)/79.264*100</f>
        <v>58.073021800565208</v>
      </c>
      <c r="AA138" s="20">
        <v>0</v>
      </c>
      <c r="AB138" s="20"/>
      <c r="AC138" s="37"/>
      <c r="AD138" s="20"/>
      <c r="AE138" s="20"/>
      <c r="AF138" s="20"/>
      <c r="AG138" s="19">
        <f>(20+47.822)/138.19*100</f>
        <v>49.078804544467765</v>
      </c>
      <c r="AH138" s="20">
        <v>0</v>
      </c>
      <c r="AI138" s="20"/>
      <c r="AJ138" s="37"/>
      <c r="AK138" s="37"/>
      <c r="AL138" s="37"/>
      <c r="AM138" s="37"/>
      <c r="AN138" s="19">
        <f>(20+14.028)/76.238*100</f>
        <v>44.633909598887698</v>
      </c>
      <c r="AO138" s="20">
        <v>0</v>
      </c>
      <c r="AP138" s="29"/>
    </row>
    <row r="139" spans="1:42" ht="15.6" customHeight="1" x14ac:dyDescent="0.25">
      <c r="A139" s="68" t="s">
        <v>111</v>
      </c>
      <c r="B139" s="68"/>
      <c r="C139" s="68"/>
      <c r="D139" s="68"/>
      <c r="E139" s="68"/>
      <c r="F139" s="68"/>
      <c r="G139" s="68"/>
      <c r="H139" s="68" t="s">
        <v>126</v>
      </c>
      <c r="I139" s="68"/>
      <c r="J139" s="68"/>
      <c r="K139" s="68"/>
      <c r="L139" s="68"/>
      <c r="M139" s="68"/>
      <c r="N139" s="68"/>
      <c r="O139" s="68" t="s">
        <v>130</v>
      </c>
      <c r="P139" s="68"/>
      <c r="Q139" s="68"/>
      <c r="R139" s="68"/>
      <c r="S139" s="68"/>
      <c r="T139" s="68"/>
      <c r="U139" s="68"/>
      <c r="V139" s="33"/>
      <c r="W139" s="33"/>
      <c r="X139" s="33"/>
      <c r="Y139" s="51"/>
      <c r="Z139" s="19">
        <f>(20+26.031)/79.264*100</f>
        <v>58.073021800565208</v>
      </c>
      <c r="AA139" s="53">
        <v>20</v>
      </c>
      <c r="AB139" s="20"/>
      <c r="AC139" s="37"/>
      <c r="AD139" s="37"/>
      <c r="AE139" s="37"/>
      <c r="AF139" s="37"/>
      <c r="AG139" s="19">
        <f>(20+47.822)/138.19*100</f>
        <v>49.078804544467765</v>
      </c>
      <c r="AH139" s="53">
        <v>20</v>
      </c>
      <c r="AI139" s="20"/>
      <c r="AJ139" s="37"/>
      <c r="AK139" s="37"/>
      <c r="AL139" s="37"/>
      <c r="AM139" s="37"/>
      <c r="AN139" s="19">
        <f>(20+14.028)/76.238*100</f>
        <v>44.633909598887698</v>
      </c>
      <c r="AO139" s="53">
        <v>20</v>
      </c>
      <c r="AP139" s="29"/>
    </row>
    <row r="140" spans="1:42" ht="15.6" customHeight="1" x14ac:dyDescent="0.2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33"/>
      <c r="W140" s="33"/>
      <c r="X140" s="33"/>
      <c r="Y140" s="51"/>
      <c r="Z140" s="18">
        <v>0</v>
      </c>
      <c r="AA140" s="20">
        <v>20</v>
      </c>
      <c r="AB140" s="20"/>
      <c r="AC140" s="37"/>
      <c r="AD140" s="37"/>
      <c r="AE140" s="37"/>
      <c r="AF140" s="37"/>
      <c r="AG140" s="18">
        <v>0</v>
      </c>
      <c r="AH140" s="20">
        <v>20</v>
      </c>
      <c r="AI140" s="20"/>
      <c r="AJ140" s="37"/>
      <c r="AK140" s="37"/>
      <c r="AL140" s="37"/>
      <c r="AM140" s="37"/>
      <c r="AN140" s="18">
        <v>0</v>
      </c>
      <c r="AO140" s="20">
        <v>20</v>
      </c>
      <c r="AP140" s="29"/>
    </row>
    <row r="141" spans="1:42" ht="15.6" customHeight="1" x14ac:dyDescent="0.25">
      <c r="A141" s="68" t="s">
        <v>0</v>
      </c>
      <c r="B141" s="68"/>
      <c r="C141" s="68"/>
      <c r="D141" s="68"/>
      <c r="E141" s="68"/>
      <c r="F141" s="68"/>
      <c r="G141" s="68"/>
      <c r="H141" s="68" t="s">
        <v>0</v>
      </c>
      <c r="I141" s="68"/>
      <c r="J141" s="68"/>
      <c r="K141" s="68"/>
      <c r="L141" s="68"/>
      <c r="M141" s="68"/>
      <c r="N141" s="68"/>
      <c r="O141" s="68" t="s">
        <v>0</v>
      </c>
      <c r="P141" s="68"/>
      <c r="Q141" s="68"/>
      <c r="R141" s="68"/>
      <c r="S141" s="68"/>
      <c r="T141" s="68"/>
      <c r="U141" s="68"/>
    </row>
    <row r="142" spans="1:42" ht="15.6" customHeight="1" x14ac:dyDescent="0.2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42" ht="15.6" customHeight="1" x14ac:dyDescent="0.25">
      <c r="K143" s="51"/>
      <c r="L143" s="51"/>
      <c r="M143" s="51"/>
      <c r="R143" s="51"/>
      <c r="S143" s="51"/>
      <c r="T143" s="51"/>
    </row>
    <row r="144" spans="1:42" ht="15.6" customHeight="1" x14ac:dyDescent="0.25">
      <c r="A144" s="65" t="s">
        <v>132</v>
      </c>
      <c r="B144" s="65"/>
      <c r="C144" s="65"/>
      <c r="D144" s="65"/>
      <c r="E144" s="65"/>
      <c r="F144" s="65"/>
      <c r="G144" s="65"/>
      <c r="H144" s="65" t="s">
        <v>132</v>
      </c>
      <c r="I144" s="65"/>
      <c r="J144" s="65"/>
      <c r="K144" s="65"/>
      <c r="L144" s="65"/>
      <c r="M144" s="65"/>
      <c r="N144" s="65"/>
      <c r="O144" s="65" t="s">
        <v>132</v>
      </c>
      <c r="P144" s="65"/>
      <c r="Q144" s="65"/>
      <c r="R144" s="65"/>
      <c r="S144" s="65"/>
      <c r="T144" s="65"/>
      <c r="U144" s="65"/>
    </row>
    <row r="145" spans="1:29" ht="15.6" customHeight="1" x14ac:dyDescent="0.25">
      <c r="K145" s="51"/>
      <c r="L145" s="51"/>
      <c r="M145" s="51"/>
      <c r="R145" s="51"/>
      <c r="S145" s="51"/>
      <c r="T145" s="51"/>
    </row>
    <row r="146" spans="1:29" ht="15.6" customHeight="1" x14ac:dyDescent="0.25">
      <c r="D146" s="51" t="s">
        <v>1</v>
      </c>
      <c r="F146" s="93" t="s">
        <v>139</v>
      </c>
      <c r="G146" s="93"/>
      <c r="K146" s="51" t="s">
        <v>1</v>
      </c>
      <c r="L146" s="51"/>
      <c r="M146" s="93" t="s">
        <v>139</v>
      </c>
      <c r="N146" s="93"/>
      <c r="R146" s="51" t="s">
        <v>1</v>
      </c>
      <c r="S146" s="51"/>
      <c r="T146" s="93" t="s">
        <v>139</v>
      </c>
      <c r="U146" s="93"/>
    </row>
    <row r="147" spans="1:29" ht="15.6" customHeight="1" x14ac:dyDescent="0.25">
      <c r="A147" s="65" t="s">
        <v>25</v>
      </c>
      <c r="B147" s="65"/>
      <c r="C147" s="65"/>
      <c r="D147" s="93" t="s">
        <v>52</v>
      </c>
      <c r="E147" s="93"/>
      <c r="F147" s="93"/>
      <c r="H147" s="65" t="s">
        <v>25</v>
      </c>
      <c r="I147" s="65"/>
      <c r="J147" s="65"/>
      <c r="K147" s="65" t="s">
        <v>54</v>
      </c>
      <c r="L147" s="65"/>
      <c r="M147" s="65"/>
      <c r="N147" s="65"/>
      <c r="O147" s="65" t="s">
        <v>25</v>
      </c>
      <c r="P147" s="65"/>
      <c r="Q147" s="65"/>
      <c r="R147" s="65" t="s">
        <v>56</v>
      </c>
      <c r="S147" s="65"/>
      <c r="T147" s="65"/>
      <c r="U147" s="65"/>
    </row>
    <row r="148" spans="1:29" ht="15.6" customHeight="1" x14ac:dyDescent="0.25">
      <c r="A148" s="65" t="s">
        <v>44</v>
      </c>
      <c r="B148" s="65"/>
      <c r="C148" s="65"/>
      <c r="D148" s="93" t="s">
        <v>53</v>
      </c>
      <c r="E148" s="93"/>
      <c r="F148" s="93"/>
      <c r="H148" s="65" t="s">
        <v>44</v>
      </c>
      <c r="I148" s="65"/>
      <c r="J148" s="65"/>
      <c r="K148" s="65" t="s">
        <v>36</v>
      </c>
      <c r="L148" s="65"/>
      <c r="M148" s="65"/>
      <c r="N148" s="65"/>
      <c r="O148" s="65" t="s">
        <v>44</v>
      </c>
      <c r="P148" s="65"/>
      <c r="Q148" s="65"/>
      <c r="R148" s="65" t="s">
        <v>55</v>
      </c>
      <c r="S148" s="65"/>
      <c r="T148" s="65"/>
      <c r="U148" s="65"/>
    </row>
    <row r="149" spans="1:29" ht="15.6" customHeight="1" x14ac:dyDescent="0.25">
      <c r="K149" s="51"/>
      <c r="L149" s="51"/>
      <c r="M149" s="51"/>
      <c r="R149" s="51"/>
      <c r="S149" s="51"/>
      <c r="T149" s="51"/>
    </row>
    <row r="150" spans="1:29" ht="15.6" customHeight="1" x14ac:dyDescent="0.25">
      <c r="K150" s="51"/>
      <c r="L150" s="51"/>
      <c r="M150" s="51"/>
      <c r="R150" s="51"/>
      <c r="S150" s="51"/>
      <c r="T150" s="51"/>
    </row>
    <row r="151" spans="1:29" ht="48" customHeight="1" x14ac:dyDescent="0.25">
      <c r="A151" s="25" t="s">
        <v>27</v>
      </c>
      <c r="B151" s="100" t="s">
        <v>108</v>
      </c>
      <c r="C151" s="101"/>
      <c r="D151" s="30" t="s">
        <v>74</v>
      </c>
      <c r="E151" s="30" t="s">
        <v>75</v>
      </c>
      <c r="F151" s="30" t="s">
        <v>76</v>
      </c>
      <c r="G151" s="31" t="s">
        <v>32</v>
      </c>
      <c r="H151" s="25" t="s">
        <v>27</v>
      </c>
      <c r="I151" s="60" t="s">
        <v>108</v>
      </c>
      <c r="J151" s="60"/>
      <c r="K151" s="30" t="s">
        <v>74</v>
      </c>
      <c r="L151" s="30" t="s">
        <v>75</v>
      </c>
      <c r="M151" s="30" t="s">
        <v>76</v>
      </c>
      <c r="N151" s="31" t="s">
        <v>32</v>
      </c>
      <c r="O151" s="25" t="s">
        <v>27</v>
      </c>
      <c r="P151" s="60" t="s">
        <v>108</v>
      </c>
      <c r="Q151" s="60"/>
      <c r="R151" s="30" t="s">
        <v>74</v>
      </c>
      <c r="S151" s="30" t="s">
        <v>75</v>
      </c>
      <c r="T151" s="30" t="s">
        <v>76</v>
      </c>
      <c r="U151" s="31" t="s">
        <v>32</v>
      </c>
    </row>
    <row r="152" spans="1:29" ht="15.6" customHeight="1" x14ac:dyDescent="0.25">
      <c r="A152" s="94" t="s">
        <v>89</v>
      </c>
      <c r="B152" s="26">
        <v>15.4</v>
      </c>
      <c r="C152" s="97">
        <f>AVERAGE(B152:B154)</f>
        <v>15.350000000000001</v>
      </c>
      <c r="D152" s="97">
        <v>45.8</v>
      </c>
      <c r="E152" s="97">
        <v>61.6</v>
      </c>
      <c r="F152" s="97">
        <v>56.1</v>
      </c>
      <c r="G152" s="91">
        <f>(E152-F152)/(F152-D152)*100</f>
        <v>53.398058252427163</v>
      </c>
      <c r="H152" s="58" t="s">
        <v>64</v>
      </c>
      <c r="I152" s="26">
        <v>14.1</v>
      </c>
      <c r="J152" s="92">
        <f>AVERAGE(I152:I154)</f>
        <v>14.2</v>
      </c>
      <c r="K152" s="92">
        <v>50.2</v>
      </c>
      <c r="L152" s="92">
        <v>68.2</v>
      </c>
      <c r="M152" s="92">
        <v>62.7</v>
      </c>
      <c r="N152" s="91">
        <f>(L152-M152)/(M152-K152)*100</f>
        <v>44</v>
      </c>
      <c r="O152" s="58" t="s">
        <v>87</v>
      </c>
      <c r="P152" s="26">
        <v>14</v>
      </c>
      <c r="Q152" s="92">
        <f>AVERAGE(P152:P154)</f>
        <v>14.05</v>
      </c>
      <c r="R152" s="92">
        <v>45.7</v>
      </c>
      <c r="S152" s="92">
        <v>62.6</v>
      </c>
      <c r="T152" s="92">
        <v>57.9</v>
      </c>
      <c r="U152" s="91">
        <f>(S152-T152)/(T152-R152)*100</f>
        <v>38.524590163934462</v>
      </c>
    </row>
    <row r="153" spans="1:29" ht="15.6" customHeight="1" x14ac:dyDescent="0.25">
      <c r="A153" s="95"/>
      <c r="B153" s="26">
        <v>15.3</v>
      </c>
      <c r="C153" s="98"/>
      <c r="D153" s="98"/>
      <c r="E153" s="98"/>
      <c r="F153" s="98"/>
      <c r="G153" s="91"/>
      <c r="H153" s="58"/>
      <c r="I153" s="26">
        <v>14.3</v>
      </c>
      <c r="J153" s="92"/>
      <c r="K153" s="92"/>
      <c r="L153" s="92"/>
      <c r="M153" s="92"/>
      <c r="N153" s="91"/>
      <c r="O153" s="58"/>
      <c r="P153" s="26">
        <v>14.1</v>
      </c>
      <c r="Q153" s="92"/>
      <c r="R153" s="92"/>
      <c r="S153" s="92"/>
      <c r="T153" s="92"/>
      <c r="U153" s="91"/>
    </row>
    <row r="154" spans="1:29" ht="15.6" customHeight="1" x14ac:dyDescent="0.25">
      <c r="A154" s="96"/>
      <c r="B154" s="26"/>
      <c r="C154" s="99"/>
      <c r="D154" s="99"/>
      <c r="E154" s="99"/>
      <c r="F154" s="99"/>
      <c r="G154" s="91"/>
      <c r="H154" s="58"/>
      <c r="I154" s="26"/>
      <c r="J154" s="92"/>
      <c r="K154" s="92"/>
      <c r="L154" s="92"/>
      <c r="M154" s="92"/>
      <c r="N154" s="91"/>
      <c r="O154" s="58"/>
      <c r="P154" s="26"/>
      <c r="Q154" s="92"/>
      <c r="R154" s="92"/>
      <c r="S154" s="92"/>
      <c r="T154" s="92"/>
      <c r="U154" s="91"/>
    </row>
    <row r="155" spans="1:29" ht="15.6" customHeight="1" x14ac:dyDescent="0.25">
      <c r="A155" s="94" t="s">
        <v>71</v>
      </c>
      <c r="B155" s="26">
        <v>16.899999999999999</v>
      </c>
      <c r="C155" s="97">
        <f t="shared" ref="C155" si="54">AVERAGE(B155:B157)</f>
        <v>16.850000000000001</v>
      </c>
      <c r="D155" s="97">
        <v>45</v>
      </c>
      <c r="E155" s="97">
        <v>68.5</v>
      </c>
      <c r="F155" s="97">
        <v>60.3</v>
      </c>
      <c r="G155" s="91">
        <f t="shared" ref="G155" si="55">(E155-F155)/(F155-D155)*100</f>
        <v>53.594771241830095</v>
      </c>
      <c r="H155" s="58" t="s">
        <v>71</v>
      </c>
      <c r="I155" s="26">
        <v>16</v>
      </c>
      <c r="J155" s="92">
        <f t="shared" ref="J155" si="56">AVERAGE(I155:I157)</f>
        <v>15.9</v>
      </c>
      <c r="K155" s="92">
        <v>45</v>
      </c>
      <c r="L155" s="92">
        <v>62.9</v>
      </c>
      <c r="M155" s="92">
        <v>57.2</v>
      </c>
      <c r="N155" s="91">
        <f t="shared" ref="N155" si="57">(L155-M155)/(M155-K155)*100</f>
        <v>46.721311475409792</v>
      </c>
      <c r="O155" s="58" t="s">
        <v>88</v>
      </c>
      <c r="P155" s="26">
        <v>15.4</v>
      </c>
      <c r="Q155" s="92">
        <f t="shared" ref="Q155" si="58">AVERAGE(P155:P157)</f>
        <v>15.4</v>
      </c>
      <c r="R155" s="92">
        <v>48.9</v>
      </c>
      <c r="S155" s="92">
        <v>66.400000000000006</v>
      </c>
      <c r="T155" s="92">
        <v>61.3</v>
      </c>
      <c r="U155" s="91">
        <f t="shared" ref="U155" si="59">(S155-T155)/(T155-R155)*100</f>
        <v>41.129032258064591</v>
      </c>
    </row>
    <row r="156" spans="1:29" ht="15.6" customHeight="1" x14ac:dyDescent="0.25">
      <c r="A156" s="95"/>
      <c r="B156" s="26">
        <v>16.8</v>
      </c>
      <c r="C156" s="98"/>
      <c r="D156" s="98"/>
      <c r="E156" s="98"/>
      <c r="F156" s="98"/>
      <c r="G156" s="91"/>
      <c r="H156" s="58"/>
      <c r="I156" s="26">
        <v>15.8</v>
      </c>
      <c r="J156" s="92"/>
      <c r="K156" s="92"/>
      <c r="L156" s="92"/>
      <c r="M156" s="92"/>
      <c r="N156" s="91"/>
      <c r="O156" s="58"/>
      <c r="P156" s="26">
        <v>15.4</v>
      </c>
      <c r="Q156" s="92"/>
      <c r="R156" s="92"/>
      <c r="S156" s="92"/>
      <c r="T156" s="92"/>
      <c r="U156" s="91"/>
    </row>
    <row r="157" spans="1:29" ht="15.6" customHeight="1" x14ac:dyDescent="0.25">
      <c r="A157" s="96"/>
      <c r="B157" s="26"/>
      <c r="C157" s="99"/>
      <c r="D157" s="99"/>
      <c r="E157" s="99"/>
      <c r="F157" s="99"/>
      <c r="G157" s="91"/>
      <c r="H157" s="58"/>
      <c r="I157" s="26"/>
      <c r="J157" s="92"/>
      <c r="K157" s="92"/>
      <c r="L157" s="92"/>
      <c r="M157" s="92"/>
      <c r="N157" s="91"/>
      <c r="O157" s="58"/>
      <c r="P157" s="26"/>
      <c r="Q157" s="92"/>
      <c r="R157" s="92"/>
      <c r="S157" s="92"/>
      <c r="T157" s="92"/>
      <c r="U157" s="91"/>
      <c r="V157" s="47"/>
      <c r="W157" s="47"/>
      <c r="X157" s="47"/>
    </row>
    <row r="158" spans="1:29" ht="15.6" customHeight="1" x14ac:dyDescent="0.25">
      <c r="A158" s="94" t="s">
        <v>37</v>
      </c>
      <c r="B158" s="26">
        <v>19.3</v>
      </c>
      <c r="C158" s="97">
        <f t="shared" ref="C158" si="60">AVERAGE(B158:B160)</f>
        <v>19.200000000000003</v>
      </c>
      <c r="D158" s="97">
        <v>46</v>
      </c>
      <c r="E158" s="97">
        <v>72.7</v>
      </c>
      <c r="F158" s="97">
        <v>63</v>
      </c>
      <c r="G158" s="91">
        <f t="shared" ref="G158" si="61">(E158-F158)/(F158-D158)*100</f>
        <v>57.058823529411782</v>
      </c>
      <c r="H158" s="58" t="s">
        <v>63</v>
      </c>
      <c r="I158" s="26">
        <v>17.899999999999999</v>
      </c>
      <c r="J158" s="92">
        <f t="shared" ref="J158" si="62">AVERAGE(I158:I160)</f>
        <v>17.75</v>
      </c>
      <c r="K158" s="92">
        <v>38.299999999999997</v>
      </c>
      <c r="L158" s="92">
        <v>55.8</v>
      </c>
      <c r="M158" s="92">
        <v>50.1</v>
      </c>
      <c r="N158" s="91">
        <f t="shared" ref="N158" si="63">(L158-M158)/(M158-K158)*100</f>
        <v>48.305084745762663</v>
      </c>
      <c r="O158" s="58" t="s">
        <v>64</v>
      </c>
      <c r="P158" s="26">
        <v>18.5</v>
      </c>
      <c r="Q158" s="92">
        <f t="shared" ref="Q158" si="64">AVERAGE(P158:P160)</f>
        <v>18.75</v>
      </c>
      <c r="R158" s="92">
        <v>50.3</v>
      </c>
      <c r="S158" s="92">
        <v>73.8</v>
      </c>
      <c r="T158" s="92">
        <v>66.7</v>
      </c>
      <c r="U158" s="91">
        <f t="shared" ref="U158" si="65">(S158-T158)/(T158-R158)*100</f>
        <v>43.292682926829215</v>
      </c>
    </row>
    <row r="159" spans="1:29" ht="15.6" customHeight="1" x14ac:dyDescent="0.25">
      <c r="A159" s="95"/>
      <c r="B159" s="26">
        <v>19.100000000000001</v>
      </c>
      <c r="C159" s="98"/>
      <c r="D159" s="98"/>
      <c r="E159" s="98"/>
      <c r="F159" s="98"/>
      <c r="G159" s="91"/>
      <c r="H159" s="58"/>
      <c r="I159" s="26">
        <v>17.600000000000001</v>
      </c>
      <c r="J159" s="92"/>
      <c r="K159" s="92"/>
      <c r="L159" s="92"/>
      <c r="M159" s="92"/>
      <c r="N159" s="91"/>
      <c r="O159" s="58"/>
      <c r="P159" s="26">
        <v>19</v>
      </c>
      <c r="Q159" s="92"/>
      <c r="R159" s="92"/>
      <c r="S159" s="92"/>
      <c r="T159" s="92"/>
      <c r="U159" s="91"/>
      <c r="V159" s="80"/>
      <c r="W159" s="80"/>
      <c r="X159" s="80"/>
      <c r="Y159" s="80"/>
      <c r="Z159" s="80"/>
      <c r="AB159" s="9"/>
      <c r="AC159" s="10"/>
    </row>
    <row r="160" spans="1:29" ht="15.6" customHeight="1" x14ac:dyDescent="0.25">
      <c r="A160" s="96"/>
      <c r="B160" s="26"/>
      <c r="C160" s="99"/>
      <c r="D160" s="99"/>
      <c r="E160" s="99"/>
      <c r="F160" s="99"/>
      <c r="G160" s="91"/>
      <c r="H160" s="58"/>
      <c r="I160" s="26"/>
      <c r="J160" s="92"/>
      <c r="K160" s="92"/>
      <c r="L160" s="92"/>
      <c r="M160" s="92"/>
      <c r="N160" s="91"/>
      <c r="O160" s="58"/>
      <c r="P160" s="26"/>
      <c r="Q160" s="92"/>
      <c r="R160" s="92"/>
      <c r="S160" s="92"/>
      <c r="T160" s="92"/>
      <c r="U160" s="91"/>
      <c r="AB160" s="9"/>
      <c r="AC160" s="10"/>
    </row>
    <row r="161" spans="1:29" ht="15.6" customHeight="1" x14ac:dyDescent="0.25">
      <c r="A161" s="94" t="s">
        <v>69</v>
      </c>
      <c r="B161" s="26">
        <v>22.1</v>
      </c>
      <c r="C161" s="97">
        <f t="shared" ref="C161" si="66">AVERAGE(B161:B163)</f>
        <v>22</v>
      </c>
      <c r="D161" s="97">
        <v>44.7</v>
      </c>
      <c r="E161" s="97">
        <v>65.8</v>
      </c>
      <c r="F161" s="97">
        <v>57.9</v>
      </c>
      <c r="G161" s="91">
        <f t="shared" ref="G161" si="67">(E161-F161)/(F161-D161)*100</f>
        <v>59.848484848484858</v>
      </c>
      <c r="H161" s="58" t="s">
        <v>37</v>
      </c>
      <c r="I161" s="26">
        <v>22</v>
      </c>
      <c r="J161" s="92">
        <f t="shared" ref="J161" si="68">AVERAGE(I161:I163)</f>
        <v>22.900000000000002</v>
      </c>
      <c r="K161" s="92">
        <v>46</v>
      </c>
      <c r="L161" s="92">
        <v>67.099999999999994</v>
      </c>
      <c r="M161" s="92">
        <v>60.1</v>
      </c>
      <c r="N161" s="91">
        <f t="shared" ref="N161" si="69">(L161-M161)/(M161-K161)*100</f>
        <v>49.645390070921927</v>
      </c>
      <c r="O161" s="58" t="s">
        <v>34</v>
      </c>
      <c r="P161" s="26">
        <v>20.6</v>
      </c>
      <c r="Q161" s="92">
        <f t="shared" ref="Q161" si="70">AVERAGE(P161:P163)</f>
        <v>20.450000000000003</v>
      </c>
      <c r="R161" s="92">
        <v>44.8</v>
      </c>
      <c r="S161" s="92">
        <v>69.400000000000006</v>
      </c>
      <c r="T161" s="92">
        <v>61.8</v>
      </c>
      <c r="U161" s="91">
        <f t="shared" ref="U161" si="71">(S161-T161)/(T161-R161)*100</f>
        <v>44.705882352941231</v>
      </c>
      <c r="AA161" s="8"/>
      <c r="AB161" s="9"/>
      <c r="AC161" s="10"/>
    </row>
    <row r="162" spans="1:29" ht="15.6" customHeight="1" x14ac:dyDescent="0.25">
      <c r="A162" s="95"/>
      <c r="B162" s="26">
        <v>21.9</v>
      </c>
      <c r="C162" s="98"/>
      <c r="D162" s="98"/>
      <c r="E162" s="98"/>
      <c r="F162" s="98"/>
      <c r="G162" s="91"/>
      <c r="H162" s="58"/>
      <c r="I162" s="26">
        <v>21.7</v>
      </c>
      <c r="J162" s="92"/>
      <c r="K162" s="92"/>
      <c r="L162" s="92"/>
      <c r="M162" s="92"/>
      <c r="N162" s="91"/>
      <c r="O162" s="58"/>
      <c r="P162" s="26">
        <v>20.3</v>
      </c>
      <c r="Q162" s="92"/>
      <c r="R162" s="92"/>
      <c r="S162" s="92"/>
      <c r="T162" s="92"/>
      <c r="U162" s="91"/>
      <c r="AA162" s="8"/>
      <c r="AB162" s="9"/>
      <c r="AC162" s="10"/>
    </row>
    <row r="163" spans="1:29" ht="15.6" customHeight="1" x14ac:dyDescent="0.25">
      <c r="A163" s="96"/>
      <c r="B163" s="26"/>
      <c r="C163" s="99"/>
      <c r="D163" s="99"/>
      <c r="E163" s="99"/>
      <c r="F163" s="99"/>
      <c r="G163" s="91"/>
      <c r="H163" s="58"/>
      <c r="I163" s="26">
        <v>25</v>
      </c>
      <c r="J163" s="92"/>
      <c r="K163" s="92"/>
      <c r="L163" s="92"/>
      <c r="M163" s="92"/>
      <c r="N163" s="91"/>
      <c r="O163" s="58"/>
      <c r="P163" s="26"/>
      <c r="Q163" s="92"/>
      <c r="R163" s="92"/>
      <c r="S163" s="92"/>
      <c r="T163" s="92"/>
      <c r="U163" s="91"/>
      <c r="AA163" s="8"/>
      <c r="AB163" s="9"/>
      <c r="AC163" s="10"/>
    </row>
    <row r="164" spans="1:29" ht="15.6" customHeight="1" x14ac:dyDescent="0.25">
      <c r="AA164" s="8"/>
      <c r="AB164" s="9"/>
      <c r="AC164" s="10"/>
    </row>
    <row r="165" spans="1:29" ht="15.6" customHeight="1" x14ac:dyDescent="0.25">
      <c r="AA165" s="8"/>
      <c r="AB165" s="9"/>
      <c r="AC165" s="10"/>
    </row>
    <row r="166" spans="1:29" ht="15.6" customHeight="1" x14ac:dyDescent="0.25">
      <c r="AA166" s="8"/>
      <c r="AB166" s="9"/>
      <c r="AC166" s="10"/>
    </row>
    <row r="167" spans="1:29" ht="15.6" customHeight="1" x14ac:dyDescent="0.25">
      <c r="AA167" s="8"/>
      <c r="AB167" s="9"/>
      <c r="AC167" s="10"/>
    </row>
    <row r="168" spans="1:29" ht="15.6" customHeight="1" x14ac:dyDescent="0.25">
      <c r="AA168" s="8"/>
      <c r="AB168" s="9"/>
      <c r="AC168" s="10"/>
    </row>
    <row r="169" spans="1:29" ht="15.6" customHeight="1" x14ac:dyDescent="0.25">
      <c r="AA169" s="8"/>
      <c r="AB169" s="9"/>
      <c r="AC169" s="10"/>
    </row>
    <row r="170" spans="1:29" ht="15.6" customHeight="1" x14ac:dyDescent="0.25">
      <c r="AA170" s="8"/>
      <c r="AB170" s="9"/>
      <c r="AC170" s="10"/>
    </row>
    <row r="171" spans="1:29" ht="15.6" customHeight="1" x14ac:dyDescent="0.25">
      <c r="AA171" s="8"/>
      <c r="AB171" s="9"/>
      <c r="AC171" s="10"/>
    </row>
    <row r="172" spans="1:29" ht="15.6" customHeight="1" x14ac:dyDescent="0.25">
      <c r="AA172" s="8"/>
      <c r="AB172" s="9"/>
      <c r="AC172" s="10"/>
    </row>
    <row r="173" spans="1:29" ht="15.6" customHeight="1" x14ac:dyDescent="0.25"/>
    <row r="174" spans="1:29" ht="15.6" customHeight="1" x14ac:dyDescent="0.25"/>
    <row r="175" spans="1:29" ht="15.6" customHeight="1" x14ac:dyDescent="0.25"/>
    <row r="176" spans="1:29" ht="15.6" customHeight="1" x14ac:dyDescent="0.25"/>
    <row r="177" spans="1:42" ht="15.6" customHeight="1" x14ac:dyDescent="0.25"/>
    <row r="178" spans="1:42" ht="15.6" customHeight="1" x14ac:dyDescent="0.25"/>
    <row r="179" spans="1:42" ht="15.6" customHeight="1" x14ac:dyDescent="0.25"/>
    <row r="180" spans="1:42" ht="15.6" customHeight="1" x14ac:dyDescent="0.25"/>
    <row r="181" spans="1:42" ht="15.6" customHeight="1" x14ac:dyDescent="0.25"/>
    <row r="182" spans="1:42" ht="15.6" customHeight="1" x14ac:dyDescent="0.25">
      <c r="B182" s="90" t="s">
        <v>136</v>
      </c>
      <c r="C182" s="90"/>
      <c r="D182" s="90"/>
      <c r="E182" s="71">
        <v>58</v>
      </c>
      <c r="F182" s="72"/>
      <c r="I182" s="90" t="s">
        <v>136</v>
      </c>
      <c r="J182" s="90"/>
      <c r="K182" s="90"/>
      <c r="L182" s="71">
        <v>49</v>
      </c>
      <c r="M182" s="72"/>
      <c r="P182" s="90" t="s">
        <v>136</v>
      </c>
      <c r="Q182" s="90"/>
      <c r="R182" s="90"/>
      <c r="S182" s="71">
        <v>45</v>
      </c>
      <c r="T182" s="72"/>
    </row>
    <row r="183" spans="1:42" ht="15.6" customHeight="1" x14ac:dyDescent="0.25">
      <c r="B183" s="90"/>
      <c r="C183" s="90"/>
      <c r="D183" s="90"/>
      <c r="E183" s="73"/>
      <c r="F183" s="74"/>
      <c r="I183" s="90"/>
      <c r="J183" s="90"/>
      <c r="K183" s="90"/>
      <c r="L183" s="73"/>
      <c r="M183" s="74"/>
      <c r="P183" s="90"/>
      <c r="Q183" s="90"/>
      <c r="R183" s="90"/>
      <c r="S183" s="73"/>
      <c r="T183" s="74"/>
    </row>
    <row r="184" spans="1:42" ht="15.6" customHeight="1" x14ac:dyDescent="0.25">
      <c r="V184" s="33"/>
      <c r="W184" s="33"/>
      <c r="X184" s="33"/>
      <c r="Y184" s="51"/>
      <c r="Z184" s="18">
        <f>(20+33.451)/92.543*100</f>
        <v>57.758015192937329</v>
      </c>
      <c r="AA184" s="53">
        <v>0</v>
      </c>
      <c r="AB184" s="20"/>
      <c r="AC184" s="37"/>
      <c r="AD184" s="37"/>
      <c r="AE184" s="37"/>
      <c r="AF184" s="37"/>
      <c r="AG184" s="18">
        <f>(20+41.928)/125.38*100</f>
        <v>49.392247567395117</v>
      </c>
      <c r="AH184" s="53">
        <v>0</v>
      </c>
      <c r="AI184" s="20"/>
      <c r="AJ184" s="37"/>
      <c r="AK184" s="37"/>
      <c r="AL184" s="37"/>
      <c r="AM184" s="18">
        <f>(20+27.635)/106.88*100</f>
        <v>44.568675149700603</v>
      </c>
      <c r="AN184" s="53">
        <v>0</v>
      </c>
      <c r="AO184" s="33"/>
      <c r="AP184" s="29"/>
    </row>
    <row r="185" spans="1:42" ht="15.6" customHeight="1" x14ac:dyDescent="0.25">
      <c r="A185" s="68" t="s">
        <v>112</v>
      </c>
      <c r="B185" s="68"/>
      <c r="C185" s="68"/>
      <c r="D185" s="68"/>
      <c r="E185" s="68"/>
      <c r="F185" s="68"/>
      <c r="G185" s="68"/>
      <c r="H185" s="68" t="s">
        <v>140</v>
      </c>
      <c r="I185" s="68"/>
      <c r="J185" s="68"/>
      <c r="K185" s="68"/>
      <c r="L185" s="68"/>
      <c r="M185" s="68"/>
      <c r="N185" s="68"/>
      <c r="O185" s="68" t="s">
        <v>137</v>
      </c>
      <c r="P185" s="68"/>
      <c r="Q185" s="68"/>
      <c r="R185" s="68"/>
      <c r="S185" s="68"/>
      <c r="T185" s="68"/>
      <c r="U185" s="68"/>
      <c r="V185" s="33"/>
      <c r="W185" s="33"/>
      <c r="X185" s="33"/>
      <c r="Y185" s="51"/>
      <c r="Z185" s="18">
        <f>(20+33.451)/92.543*100</f>
        <v>57.758015192937329</v>
      </c>
      <c r="AA185" s="53">
        <v>20</v>
      </c>
      <c r="AB185" s="20"/>
      <c r="AC185" s="37"/>
      <c r="AD185" s="37"/>
      <c r="AE185" s="37"/>
      <c r="AF185" s="37"/>
      <c r="AG185" s="18">
        <f>(20+41.928)/125.38*100</f>
        <v>49.392247567395117</v>
      </c>
      <c r="AH185" s="53">
        <v>20</v>
      </c>
      <c r="AI185" s="20"/>
      <c r="AJ185" s="37"/>
      <c r="AK185" s="37"/>
      <c r="AL185" s="37"/>
      <c r="AM185" s="18">
        <f>(20+27.635)/106.88*100</f>
        <v>44.568675149700603</v>
      </c>
      <c r="AN185" s="53">
        <v>20</v>
      </c>
      <c r="AO185" s="33"/>
      <c r="AP185" s="29"/>
    </row>
    <row r="186" spans="1:42" ht="15.6" customHeight="1" x14ac:dyDescent="0.2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33"/>
      <c r="W186" s="33"/>
      <c r="X186" s="33"/>
      <c r="Y186" s="51"/>
      <c r="Z186" s="18">
        <v>0</v>
      </c>
      <c r="AA186" s="20">
        <v>20</v>
      </c>
      <c r="AB186" s="20"/>
      <c r="AC186" s="37"/>
      <c r="AD186" s="37"/>
      <c r="AE186" s="37"/>
      <c r="AF186" s="37"/>
      <c r="AG186" s="18">
        <v>0</v>
      </c>
      <c r="AH186" s="20">
        <v>20</v>
      </c>
      <c r="AI186" s="20"/>
      <c r="AJ186" s="37"/>
      <c r="AK186" s="37"/>
      <c r="AL186" s="37"/>
      <c r="AM186" s="18">
        <v>0</v>
      </c>
      <c r="AN186" s="20">
        <v>20</v>
      </c>
      <c r="AO186" s="33"/>
      <c r="AP186" s="29"/>
    </row>
    <row r="187" spans="1:42" ht="15.6" customHeight="1" x14ac:dyDescent="0.25">
      <c r="A187" s="68" t="s">
        <v>0</v>
      </c>
      <c r="B187" s="68"/>
      <c r="C187" s="68"/>
      <c r="D187" s="68"/>
      <c r="E187" s="68"/>
      <c r="F187" s="68"/>
      <c r="G187" s="68"/>
      <c r="H187" s="68" t="s">
        <v>0</v>
      </c>
      <c r="I187" s="68"/>
      <c r="J187" s="68"/>
      <c r="K187" s="68"/>
      <c r="L187" s="68"/>
      <c r="M187" s="68"/>
      <c r="N187" s="68"/>
      <c r="O187" s="68" t="s">
        <v>0</v>
      </c>
      <c r="P187" s="68"/>
      <c r="Q187" s="68"/>
      <c r="R187" s="68"/>
      <c r="S187" s="68"/>
      <c r="T187" s="68"/>
      <c r="U187" s="68"/>
    </row>
    <row r="188" spans="1:42" ht="15.6" customHeight="1" x14ac:dyDescent="0.2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</row>
    <row r="189" spans="1:42" ht="15.6" customHeight="1" x14ac:dyDescent="0.25">
      <c r="K189" s="51"/>
      <c r="L189" s="51"/>
      <c r="M189" s="51"/>
      <c r="R189" s="51"/>
      <c r="S189" s="51"/>
      <c r="T189" s="51"/>
    </row>
    <row r="190" spans="1:42" ht="15.6" customHeight="1" x14ac:dyDescent="0.25">
      <c r="A190" s="65" t="s">
        <v>132</v>
      </c>
      <c r="B190" s="65"/>
      <c r="C190" s="65"/>
      <c r="D190" s="65"/>
      <c r="E190" s="65"/>
      <c r="F190" s="65"/>
      <c r="G190" s="65"/>
      <c r="H190" s="65" t="s">
        <v>132</v>
      </c>
      <c r="I190" s="65"/>
      <c r="J190" s="65"/>
      <c r="K190" s="65"/>
      <c r="L190" s="65"/>
      <c r="M190" s="65"/>
      <c r="N190" s="65"/>
      <c r="O190" s="65" t="s">
        <v>132</v>
      </c>
      <c r="P190" s="65"/>
      <c r="Q190" s="65"/>
      <c r="R190" s="65"/>
      <c r="S190" s="65"/>
      <c r="T190" s="65"/>
      <c r="U190" s="65"/>
    </row>
    <row r="191" spans="1:42" ht="15.6" customHeight="1" x14ac:dyDescent="0.25">
      <c r="K191" s="51"/>
      <c r="L191" s="51"/>
      <c r="M191" s="51"/>
      <c r="R191" s="51"/>
      <c r="S191" s="51"/>
      <c r="T191" s="51"/>
    </row>
    <row r="192" spans="1:42" ht="15.6" customHeight="1" x14ac:dyDescent="0.25">
      <c r="D192" s="51" t="s">
        <v>1</v>
      </c>
      <c r="F192" s="93" t="s">
        <v>139</v>
      </c>
      <c r="G192" s="93"/>
      <c r="K192" s="51" t="s">
        <v>1</v>
      </c>
      <c r="L192" s="51"/>
      <c r="M192" s="93" t="s">
        <v>139</v>
      </c>
      <c r="N192" s="93"/>
      <c r="R192" s="51" t="s">
        <v>1</v>
      </c>
      <c r="S192" s="51"/>
      <c r="T192" s="93" t="s">
        <v>139</v>
      </c>
      <c r="U192" s="93"/>
    </row>
    <row r="193" spans="1:30" ht="15.6" customHeight="1" x14ac:dyDescent="0.25">
      <c r="A193" s="65" t="s">
        <v>25</v>
      </c>
      <c r="B193" s="65"/>
      <c r="C193" s="65"/>
      <c r="D193" s="93" t="s">
        <v>52</v>
      </c>
      <c r="E193" s="93"/>
      <c r="F193" s="93"/>
      <c r="H193" s="65" t="s">
        <v>25</v>
      </c>
      <c r="I193" s="65"/>
      <c r="J193" s="65"/>
      <c r="K193" s="65" t="s">
        <v>54</v>
      </c>
      <c r="L193" s="65"/>
      <c r="M193" s="65"/>
      <c r="N193" s="65"/>
      <c r="O193" s="65" t="s">
        <v>25</v>
      </c>
      <c r="P193" s="65"/>
      <c r="Q193" s="65"/>
      <c r="R193" s="65" t="s">
        <v>56</v>
      </c>
      <c r="S193" s="65"/>
      <c r="T193" s="65"/>
      <c r="U193" s="65"/>
    </row>
    <row r="194" spans="1:30" ht="15.6" customHeight="1" x14ac:dyDescent="0.25">
      <c r="A194" s="65" t="s">
        <v>44</v>
      </c>
      <c r="B194" s="65"/>
      <c r="C194" s="65"/>
      <c r="D194" s="93" t="s">
        <v>53</v>
      </c>
      <c r="E194" s="93"/>
      <c r="F194" s="93"/>
      <c r="H194" s="65" t="s">
        <v>44</v>
      </c>
      <c r="I194" s="65"/>
      <c r="J194" s="65"/>
      <c r="K194" s="65" t="s">
        <v>36</v>
      </c>
      <c r="L194" s="65"/>
      <c r="M194" s="65"/>
      <c r="N194" s="65"/>
      <c r="O194" s="65" t="s">
        <v>44</v>
      </c>
      <c r="P194" s="65"/>
      <c r="Q194" s="65"/>
      <c r="R194" s="65" t="s">
        <v>55</v>
      </c>
      <c r="S194" s="65"/>
      <c r="T194" s="65"/>
      <c r="U194" s="65"/>
    </row>
    <row r="195" spans="1:30" ht="15.6" customHeight="1" x14ac:dyDescent="0.25">
      <c r="K195" s="51"/>
      <c r="L195" s="51"/>
      <c r="M195" s="51"/>
      <c r="R195" s="51"/>
      <c r="S195" s="51"/>
      <c r="T195" s="51"/>
    </row>
    <row r="196" spans="1:30" ht="15.6" customHeight="1" x14ac:dyDescent="0.25">
      <c r="K196" s="51"/>
      <c r="L196" s="51"/>
      <c r="M196" s="51"/>
      <c r="R196" s="51"/>
      <c r="S196" s="51"/>
      <c r="T196" s="51"/>
    </row>
    <row r="197" spans="1:30" ht="48" customHeight="1" x14ac:dyDescent="0.25">
      <c r="A197" s="25" t="s">
        <v>27</v>
      </c>
      <c r="B197" s="100" t="s">
        <v>108</v>
      </c>
      <c r="C197" s="101"/>
      <c r="D197" s="30" t="s">
        <v>74</v>
      </c>
      <c r="E197" s="30" t="s">
        <v>75</v>
      </c>
      <c r="F197" s="30" t="s">
        <v>76</v>
      </c>
      <c r="G197" s="31" t="s">
        <v>32</v>
      </c>
      <c r="H197" s="25" t="s">
        <v>27</v>
      </c>
      <c r="I197" s="60" t="s">
        <v>108</v>
      </c>
      <c r="J197" s="60"/>
      <c r="K197" s="30" t="s">
        <v>74</v>
      </c>
      <c r="L197" s="30" t="s">
        <v>75</v>
      </c>
      <c r="M197" s="30" t="s">
        <v>76</v>
      </c>
      <c r="N197" s="31" t="s">
        <v>32</v>
      </c>
      <c r="O197" s="25" t="s">
        <v>27</v>
      </c>
      <c r="P197" s="60" t="s">
        <v>108</v>
      </c>
      <c r="Q197" s="60"/>
      <c r="R197" s="30" t="s">
        <v>74</v>
      </c>
      <c r="S197" s="30" t="s">
        <v>75</v>
      </c>
      <c r="T197" s="30" t="s">
        <v>76</v>
      </c>
      <c r="U197" s="31" t="s">
        <v>32</v>
      </c>
    </row>
    <row r="198" spans="1:30" ht="15.6" customHeight="1" x14ac:dyDescent="0.25">
      <c r="A198" s="94" t="s">
        <v>63</v>
      </c>
      <c r="B198" s="26">
        <v>16.399999999999999</v>
      </c>
      <c r="C198" s="97">
        <f>AVERAGE(B198:B200)</f>
        <v>16.45</v>
      </c>
      <c r="D198" s="97">
        <v>38.299999999999997</v>
      </c>
      <c r="E198" s="97">
        <v>59</v>
      </c>
      <c r="F198" s="97">
        <v>51.8</v>
      </c>
      <c r="G198" s="91">
        <f>(E198-F198)/(F198-D198)*100</f>
        <v>53.333333333333357</v>
      </c>
      <c r="H198" s="58" t="s">
        <v>141</v>
      </c>
      <c r="I198" s="26">
        <v>14.5</v>
      </c>
      <c r="J198" s="92">
        <f>AVERAGE(I198:I200)</f>
        <v>14.7</v>
      </c>
      <c r="K198" s="92">
        <v>41.8</v>
      </c>
      <c r="L198" s="92">
        <v>68</v>
      </c>
      <c r="M198" s="92">
        <v>60</v>
      </c>
      <c r="N198" s="91">
        <f>(L198-M198)/(M198-K198)*100</f>
        <v>43.956043956043949</v>
      </c>
      <c r="O198" s="58" t="s">
        <v>69</v>
      </c>
      <c r="P198" s="26">
        <v>18.5</v>
      </c>
      <c r="Q198" s="92">
        <f>AVERAGE(P198:P200)</f>
        <v>18.45</v>
      </c>
      <c r="R198" s="92">
        <v>44.7</v>
      </c>
      <c r="S198" s="92">
        <v>60.9</v>
      </c>
      <c r="T198" s="92">
        <v>56</v>
      </c>
      <c r="U198" s="91">
        <f>(S198-T198)/(T198-R198)*100</f>
        <v>43.362831858407077</v>
      </c>
    </row>
    <row r="199" spans="1:30" ht="15.6" customHeight="1" x14ac:dyDescent="0.25">
      <c r="A199" s="95"/>
      <c r="B199" s="26">
        <v>16.5</v>
      </c>
      <c r="C199" s="98"/>
      <c r="D199" s="98"/>
      <c r="E199" s="98"/>
      <c r="F199" s="98"/>
      <c r="G199" s="91"/>
      <c r="H199" s="58"/>
      <c r="I199" s="26">
        <v>14.9</v>
      </c>
      <c r="J199" s="92"/>
      <c r="K199" s="92"/>
      <c r="L199" s="92"/>
      <c r="M199" s="92"/>
      <c r="N199" s="91"/>
      <c r="O199" s="58"/>
      <c r="P199" s="26">
        <v>18.399999999999999</v>
      </c>
      <c r="Q199" s="92"/>
      <c r="R199" s="92"/>
      <c r="S199" s="92"/>
      <c r="T199" s="92"/>
      <c r="U199" s="91"/>
    </row>
    <row r="200" spans="1:30" ht="15.6" customHeight="1" x14ac:dyDescent="0.25">
      <c r="A200" s="96"/>
      <c r="B200" s="26"/>
      <c r="C200" s="99"/>
      <c r="D200" s="99"/>
      <c r="E200" s="99"/>
      <c r="F200" s="99"/>
      <c r="G200" s="91"/>
      <c r="H200" s="58"/>
      <c r="I200" s="26"/>
      <c r="J200" s="92"/>
      <c r="K200" s="92"/>
      <c r="L200" s="92"/>
      <c r="M200" s="92"/>
      <c r="N200" s="91"/>
      <c r="O200" s="58"/>
      <c r="P200" s="26"/>
      <c r="Q200" s="92"/>
      <c r="R200" s="92"/>
      <c r="S200" s="92"/>
      <c r="T200" s="92"/>
      <c r="U200" s="91"/>
      <c r="W200" s="104"/>
      <c r="X200" s="104"/>
      <c r="Y200" s="104"/>
      <c r="Z200" s="104"/>
      <c r="AA200" s="104"/>
      <c r="AB200" s="104"/>
      <c r="AC200" s="104"/>
      <c r="AD200" s="12"/>
    </row>
    <row r="201" spans="1:30" ht="15.6" customHeight="1" x14ac:dyDescent="0.25">
      <c r="A201" s="94" t="s">
        <v>64</v>
      </c>
      <c r="B201" s="26">
        <v>18.3</v>
      </c>
      <c r="C201" s="97">
        <f t="shared" ref="C201" si="72">AVERAGE(B201:B203)</f>
        <v>18.149999999999999</v>
      </c>
      <c r="D201" s="97">
        <v>50.3</v>
      </c>
      <c r="E201" s="97">
        <v>75.7</v>
      </c>
      <c r="F201" s="97">
        <v>66.7</v>
      </c>
      <c r="G201" s="91">
        <f t="shared" ref="G201" si="73">(E201-F201)/(F201-D201)*100</f>
        <v>54.878048780487788</v>
      </c>
      <c r="H201" s="58" t="s">
        <v>61</v>
      </c>
      <c r="I201" s="26">
        <v>16.5</v>
      </c>
      <c r="J201" s="92">
        <f t="shared" ref="J201" si="74">AVERAGE(I201:I203)</f>
        <v>16.3</v>
      </c>
      <c r="K201" s="92">
        <v>40.700000000000003</v>
      </c>
      <c r="L201" s="92">
        <v>62.3</v>
      </c>
      <c r="M201" s="92">
        <v>55.4</v>
      </c>
      <c r="N201" s="91">
        <f t="shared" ref="N201" si="75">(L201-M201)/(M201-K201)*100</f>
        <v>46.938775510204081</v>
      </c>
      <c r="O201" s="58" t="s">
        <v>116</v>
      </c>
      <c r="P201" s="26">
        <v>19.2</v>
      </c>
      <c r="Q201" s="92">
        <f t="shared" ref="Q201" si="76">AVERAGE(P201:P203)</f>
        <v>19.149999999999999</v>
      </c>
      <c r="R201" s="92">
        <v>45.7</v>
      </c>
      <c r="S201" s="92">
        <v>75.3</v>
      </c>
      <c r="T201" s="92">
        <v>66.3</v>
      </c>
      <c r="U201" s="91">
        <f t="shared" ref="U201" si="77">(S201-T201)/(T201-R201)*100</f>
        <v>43.689320388349529</v>
      </c>
      <c r="AC201" s="9"/>
      <c r="AD201" s="10"/>
    </row>
    <row r="202" spans="1:30" ht="15.6" customHeight="1" x14ac:dyDescent="0.25">
      <c r="A202" s="95"/>
      <c r="B202" s="26">
        <v>18</v>
      </c>
      <c r="C202" s="98"/>
      <c r="D202" s="98"/>
      <c r="E202" s="98"/>
      <c r="F202" s="98"/>
      <c r="G202" s="91"/>
      <c r="H202" s="58"/>
      <c r="I202" s="26">
        <v>16.100000000000001</v>
      </c>
      <c r="J202" s="92"/>
      <c r="K202" s="92"/>
      <c r="L202" s="92"/>
      <c r="M202" s="92"/>
      <c r="N202" s="91"/>
      <c r="O202" s="58"/>
      <c r="P202" s="26">
        <v>19.100000000000001</v>
      </c>
      <c r="Q202" s="92"/>
      <c r="R202" s="92"/>
      <c r="S202" s="92"/>
      <c r="T202" s="92"/>
      <c r="U202" s="91"/>
      <c r="AB202" s="8"/>
      <c r="AC202" s="9"/>
      <c r="AD202" s="10"/>
    </row>
    <row r="203" spans="1:30" ht="15.6" customHeight="1" x14ac:dyDescent="0.25">
      <c r="A203" s="96"/>
      <c r="B203" s="26"/>
      <c r="C203" s="99"/>
      <c r="D203" s="99"/>
      <c r="E203" s="99"/>
      <c r="F203" s="99"/>
      <c r="G203" s="91"/>
      <c r="H203" s="58"/>
      <c r="I203" s="26"/>
      <c r="J203" s="92"/>
      <c r="K203" s="92"/>
      <c r="L203" s="92"/>
      <c r="M203" s="92"/>
      <c r="N203" s="91"/>
      <c r="O203" s="58"/>
      <c r="P203" s="26"/>
      <c r="Q203" s="92"/>
      <c r="R203" s="92"/>
      <c r="S203" s="92"/>
      <c r="T203" s="92"/>
      <c r="U203" s="91"/>
      <c r="AB203" s="8"/>
      <c r="AC203" s="9"/>
      <c r="AD203" s="10"/>
    </row>
    <row r="204" spans="1:30" ht="15.6" customHeight="1" x14ac:dyDescent="0.25">
      <c r="A204" s="94" t="s">
        <v>34</v>
      </c>
      <c r="B204" s="26">
        <v>19.5</v>
      </c>
      <c r="C204" s="97">
        <f t="shared" ref="C204" si="78">AVERAGE(B204:B206)</f>
        <v>19.166666666666668</v>
      </c>
      <c r="D204" s="97">
        <v>44.8</v>
      </c>
      <c r="E204" s="97">
        <v>63.4</v>
      </c>
      <c r="F204" s="97">
        <v>56.6</v>
      </c>
      <c r="G204" s="91">
        <f t="shared" ref="G204" si="79">(E204-F204)/(F204-D204)*100</f>
        <v>57.627118644067757</v>
      </c>
      <c r="H204" s="58" t="s">
        <v>68</v>
      </c>
      <c r="I204" s="26">
        <v>18.2</v>
      </c>
      <c r="J204" s="92">
        <f t="shared" ref="J204" si="80">AVERAGE(I204:I206)</f>
        <v>18.399999999999999</v>
      </c>
      <c r="K204" s="92">
        <v>39.9</v>
      </c>
      <c r="L204" s="92">
        <v>55.4</v>
      </c>
      <c r="M204" s="92">
        <v>50.3</v>
      </c>
      <c r="N204" s="91">
        <f t="shared" ref="N204" si="81">(L204-M204)/(M204-K204)*100</f>
        <v>49.038461538461561</v>
      </c>
      <c r="O204" s="58" t="s">
        <v>65</v>
      </c>
      <c r="P204" s="26">
        <v>20</v>
      </c>
      <c r="Q204" s="92">
        <f t="shared" ref="Q204" si="82">AVERAGE(P204:P206)</f>
        <v>20.149999999999999</v>
      </c>
      <c r="R204" s="92">
        <v>43.2</v>
      </c>
      <c r="S204" s="92">
        <v>72.599999999999994</v>
      </c>
      <c r="T204" s="92">
        <v>63.5</v>
      </c>
      <c r="U204" s="91">
        <f t="shared" ref="U204" si="83">(S204-T204)/(T204-R204)*100</f>
        <v>44.827586206896527</v>
      </c>
      <c r="AB204" s="8"/>
      <c r="AC204" s="9"/>
      <c r="AD204" s="10"/>
    </row>
    <row r="205" spans="1:30" ht="15.6" customHeight="1" x14ac:dyDescent="0.25">
      <c r="A205" s="95"/>
      <c r="B205" s="26">
        <v>19.5</v>
      </c>
      <c r="C205" s="98"/>
      <c r="D205" s="98"/>
      <c r="E205" s="98"/>
      <c r="F205" s="98"/>
      <c r="G205" s="91"/>
      <c r="H205" s="58"/>
      <c r="I205" s="26">
        <v>18.600000000000001</v>
      </c>
      <c r="J205" s="92"/>
      <c r="K205" s="92"/>
      <c r="L205" s="92"/>
      <c r="M205" s="92"/>
      <c r="N205" s="91"/>
      <c r="O205" s="58"/>
      <c r="P205" s="26">
        <v>20.3</v>
      </c>
      <c r="Q205" s="92"/>
      <c r="R205" s="92"/>
      <c r="S205" s="92"/>
      <c r="T205" s="92"/>
      <c r="U205" s="91"/>
      <c r="AB205" s="8"/>
      <c r="AC205" s="9"/>
      <c r="AD205" s="10"/>
    </row>
    <row r="206" spans="1:30" ht="15.6" customHeight="1" x14ac:dyDescent="0.25">
      <c r="A206" s="96"/>
      <c r="B206" s="26">
        <v>18.5</v>
      </c>
      <c r="C206" s="99"/>
      <c r="D206" s="99"/>
      <c r="E206" s="99"/>
      <c r="F206" s="99"/>
      <c r="G206" s="91"/>
      <c r="H206" s="58"/>
      <c r="I206" s="26"/>
      <c r="J206" s="92"/>
      <c r="K206" s="92"/>
      <c r="L206" s="92"/>
      <c r="M206" s="92"/>
      <c r="N206" s="91"/>
      <c r="O206" s="58"/>
      <c r="P206" s="26"/>
      <c r="Q206" s="92"/>
      <c r="R206" s="92"/>
      <c r="S206" s="92"/>
      <c r="T206" s="92"/>
      <c r="U206" s="91"/>
      <c r="AB206" s="8"/>
      <c r="AC206" s="9"/>
      <c r="AD206" s="10"/>
    </row>
    <row r="207" spans="1:30" ht="15.6" customHeight="1" x14ac:dyDescent="0.25">
      <c r="A207" s="94" t="s">
        <v>38</v>
      </c>
      <c r="B207" s="26">
        <v>22.9</v>
      </c>
      <c r="C207" s="97">
        <f t="shared" ref="C207" si="84">AVERAGE(B207:B209)</f>
        <v>22.95</v>
      </c>
      <c r="D207" s="97">
        <v>48</v>
      </c>
      <c r="E207" s="97">
        <v>72.400000000000006</v>
      </c>
      <c r="F207" s="97">
        <v>63.2</v>
      </c>
      <c r="G207" s="91">
        <f t="shared" ref="G207" si="85">(E207-F207)/(F207-D207)*100</f>
        <v>60.526315789473692</v>
      </c>
      <c r="H207" s="58" t="s">
        <v>60</v>
      </c>
      <c r="I207" s="26">
        <v>22.5</v>
      </c>
      <c r="J207" s="92">
        <f t="shared" ref="J207" si="86">AVERAGE(I207:I209)</f>
        <v>22.55</v>
      </c>
      <c r="K207" s="92">
        <v>40.799999999999997</v>
      </c>
      <c r="L207" s="92">
        <v>67.3</v>
      </c>
      <c r="M207" s="92">
        <v>58.2</v>
      </c>
      <c r="N207" s="91">
        <f t="shared" ref="N207" si="87">(L207-M207)/(M207-K207)*100</f>
        <v>52.298850574712596</v>
      </c>
      <c r="O207" s="58" t="s">
        <v>86</v>
      </c>
      <c r="P207" s="26">
        <v>23.3</v>
      </c>
      <c r="Q207" s="92">
        <f t="shared" ref="Q207" si="88">AVERAGE(P207:P209)</f>
        <v>23.4</v>
      </c>
      <c r="R207" s="92">
        <v>46.5</v>
      </c>
      <c r="S207" s="92">
        <v>73.900000000000006</v>
      </c>
      <c r="T207" s="92">
        <v>65</v>
      </c>
      <c r="U207" s="91">
        <f t="shared" ref="U207" si="89">(S207-T207)/(T207-R207)*100</f>
        <v>48.108108108108141</v>
      </c>
      <c r="AB207" s="8"/>
      <c r="AC207" s="9"/>
      <c r="AD207" s="10"/>
    </row>
    <row r="208" spans="1:30" ht="15.6" customHeight="1" x14ac:dyDescent="0.25">
      <c r="A208" s="95"/>
      <c r="B208" s="26">
        <v>23</v>
      </c>
      <c r="C208" s="98"/>
      <c r="D208" s="98"/>
      <c r="E208" s="98"/>
      <c r="F208" s="98"/>
      <c r="G208" s="91"/>
      <c r="H208" s="58"/>
      <c r="I208" s="26">
        <v>22.6</v>
      </c>
      <c r="J208" s="92"/>
      <c r="K208" s="92"/>
      <c r="L208" s="92"/>
      <c r="M208" s="92"/>
      <c r="N208" s="91"/>
      <c r="O208" s="58"/>
      <c r="P208" s="26">
        <v>23.5</v>
      </c>
      <c r="Q208" s="92"/>
      <c r="R208" s="92"/>
      <c r="S208" s="92"/>
      <c r="T208" s="92"/>
      <c r="U208" s="91"/>
      <c r="AB208" s="8"/>
      <c r="AC208" s="9"/>
      <c r="AD208" s="10"/>
    </row>
    <row r="209" spans="1:30" ht="15.6" customHeight="1" x14ac:dyDescent="0.25">
      <c r="A209" s="96"/>
      <c r="B209" s="26"/>
      <c r="C209" s="99"/>
      <c r="D209" s="99"/>
      <c r="E209" s="99"/>
      <c r="F209" s="99"/>
      <c r="G209" s="91"/>
      <c r="H209" s="58"/>
      <c r="I209" s="26"/>
      <c r="J209" s="92"/>
      <c r="K209" s="92"/>
      <c r="L209" s="92"/>
      <c r="M209" s="92"/>
      <c r="N209" s="91"/>
      <c r="O209" s="58"/>
      <c r="P209" s="26"/>
      <c r="Q209" s="92"/>
      <c r="R209" s="92"/>
      <c r="S209" s="92"/>
      <c r="T209" s="92"/>
      <c r="U209" s="91"/>
      <c r="AB209" s="8"/>
      <c r="AC209" s="9"/>
      <c r="AD209" s="10"/>
    </row>
    <row r="210" spans="1:30" ht="15.6" customHeight="1" x14ac:dyDescent="0.25">
      <c r="AB210" s="8"/>
      <c r="AC210" s="9"/>
      <c r="AD210" s="10"/>
    </row>
    <row r="211" spans="1:30" ht="15.6" customHeight="1" x14ac:dyDescent="0.25">
      <c r="AB211" s="8"/>
      <c r="AC211" s="9"/>
      <c r="AD211" s="10"/>
    </row>
    <row r="212" spans="1:30" ht="15.6" customHeight="1" x14ac:dyDescent="0.25">
      <c r="AB212" s="8"/>
      <c r="AC212" s="9"/>
      <c r="AD212" s="10"/>
    </row>
    <row r="213" spans="1:30" ht="15.6" customHeight="1" x14ac:dyDescent="0.25">
      <c r="AB213" s="8"/>
      <c r="AC213" s="9"/>
      <c r="AD213" s="10"/>
    </row>
    <row r="214" spans="1:30" ht="15.6" customHeight="1" x14ac:dyDescent="0.25">
      <c r="W214" s="104"/>
      <c r="X214" s="104"/>
      <c r="Y214" s="104"/>
      <c r="Z214" s="104"/>
      <c r="AA214" s="104"/>
      <c r="AB214" s="104"/>
      <c r="AC214" s="104"/>
      <c r="AD214" s="12"/>
    </row>
    <row r="215" spans="1:30" ht="15.6" customHeight="1" x14ac:dyDescent="0.25">
      <c r="AC215" s="9"/>
    </row>
    <row r="216" spans="1:30" ht="15.6" customHeight="1" x14ac:dyDescent="0.25"/>
    <row r="217" spans="1:30" ht="15.6" customHeight="1" x14ac:dyDescent="0.25"/>
    <row r="218" spans="1:30" ht="15.6" customHeight="1" x14ac:dyDescent="0.25"/>
    <row r="219" spans="1:30" ht="15.6" customHeight="1" x14ac:dyDescent="0.25"/>
    <row r="220" spans="1:30" ht="15.6" customHeight="1" x14ac:dyDescent="0.25"/>
    <row r="221" spans="1:30" ht="15.6" customHeight="1" x14ac:dyDescent="0.25"/>
    <row r="222" spans="1:30" ht="15.6" customHeight="1" x14ac:dyDescent="0.25"/>
    <row r="223" spans="1:30" ht="15.6" customHeight="1" x14ac:dyDescent="0.25"/>
    <row r="224" spans="1:30" ht="15.6" customHeight="1" x14ac:dyDescent="0.25"/>
    <row r="225" spans="1:20" ht="15.6" customHeight="1" x14ac:dyDescent="0.25"/>
    <row r="226" spans="1:20" ht="15.6" customHeight="1" x14ac:dyDescent="0.25"/>
    <row r="227" spans="1:20" ht="15.6" customHeight="1" x14ac:dyDescent="0.25"/>
    <row r="228" spans="1:20" ht="15.6" customHeight="1" x14ac:dyDescent="0.25">
      <c r="B228" s="90" t="s">
        <v>136</v>
      </c>
      <c r="C228" s="90"/>
      <c r="D228" s="90"/>
      <c r="E228" s="71">
        <v>58</v>
      </c>
      <c r="F228" s="72"/>
      <c r="I228" s="90" t="s">
        <v>136</v>
      </c>
      <c r="J228" s="90"/>
      <c r="K228" s="90"/>
      <c r="L228" s="71">
        <v>50</v>
      </c>
      <c r="M228" s="72"/>
      <c r="P228" s="90" t="s">
        <v>136</v>
      </c>
      <c r="Q228" s="90"/>
      <c r="R228" s="90"/>
      <c r="S228" s="71">
        <v>45</v>
      </c>
      <c r="T228" s="72"/>
    </row>
    <row r="229" spans="1:20" ht="15.6" customHeight="1" x14ac:dyDescent="0.25">
      <c r="B229" s="90"/>
      <c r="C229" s="90"/>
      <c r="D229" s="90"/>
      <c r="E229" s="73"/>
      <c r="F229" s="74"/>
      <c r="I229" s="90"/>
      <c r="J229" s="90"/>
      <c r="K229" s="90"/>
      <c r="L229" s="73"/>
      <c r="M229" s="74"/>
      <c r="P229" s="90"/>
      <c r="Q229" s="90"/>
      <c r="R229" s="90"/>
      <c r="S229" s="73"/>
      <c r="T229" s="74"/>
    </row>
    <row r="230" spans="1:20" ht="15.6" customHeight="1" x14ac:dyDescent="0.25">
      <c r="H230" s="37"/>
      <c r="I230" s="20"/>
      <c r="J230" s="20"/>
      <c r="K230" s="20"/>
      <c r="L230" s="19">
        <f>(20+27.607)/94.875*100</f>
        <v>50.17865612648221</v>
      </c>
      <c r="M230" s="37">
        <v>0</v>
      </c>
      <c r="N230" s="20"/>
      <c r="O230" s="37"/>
      <c r="P230" s="20"/>
      <c r="Q230" s="20"/>
      <c r="R230" s="19">
        <f>(20+25.057)/100.77*100</f>
        <v>44.712712116701404</v>
      </c>
      <c r="S230" s="37">
        <v>0</v>
      </c>
      <c r="T230" s="29"/>
    </row>
    <row r="231" spans="1:20" ht="15.6" customHeight="1" x14ac:dyDescent="0.25">
      <c r="A231" s="68" t="s">
        <v>113</v>
      </c>
      <c r="B231" s="68"/>
      <c r="C231" s="68"/>
      <c r="D231" s="68"/>
      <c r="E231" s="68"/>
      <c r="F231" s="68"/>
      <c r="G231" s="68"/>
      <c r="H231" s="37"/>
      <c r="I231" s="37"/>
      <c r="J231" s="37"/>
      <c r="K231" s="37"/>
      <c r="L231" s="19">
        <f>(20+27.607)/94.875*100</f>
        <v>50.17865612648221</v>
      </c>
      <c r="M231" s="37">
        <v>20</v>
      </c>
      <c r="N231" s="20"/>
      <c r="O231" s="37"/>
      <c r="P231" s="37"/>
      <c r="Q231" s="37"/>
      <c r="R231" s="19">
        <f>(20+25.057)/100.77*100</f>
        <v>44.712712116701404</v>
      </c>
      <c r="S231" s="37">
        <v>20</v>
      </c>
    </row>
    <row r="232" spans="1:20" ht="15.6" customHeight="1" x14ac:dyDescent="0.25">
      <c r="A232" s="68"/>
      <c r="B232" s="68"/>
      <c r="C232" s="68"/>
      <c r="D232" s="68"/>
      <c r="E232" s="68"/>
      <c r="F232" s="68"/>
      <c r="G232" s="68"/>
      <c r="H232" s="37"/>
      <c r="I232" s="37"/>
      <c r="J232" s="37"/>
      <c r="K232" s="37"/>
      <c r="L232" s="19">
        <v>0</v>
      </c>
      <c r="M232" s="20">
        <v>20</v>
      </c>
      <c r="N232" s="20"/>
      <c r="O232" s="37"/>
      <c r="P232" s="37"/>
      <c r="Q232" s="37"/>
      <c r="R232" s="19">
        <v>0</v>
      </c>
      <c r="S232" s="20">
        <v>20</v>
      </c>
    </row>
    <row r="233" spans="1:20" ht="15.6" customHeight="1" x14ac:dyDescent="0.25">
      <c r="A233" s="68" t="s">
        <v>0</v>
      </c>
      <c r="B233" s="68"/>
      <c r="C233" s="68"/>
      <c r="D233" s="68"/>
      <c r="E233" s="68"/>
      <c r="F233" s="68"/>
      <c r="G233" s="68"/>
      <c r="I233" s="29"/>
      <c r="J233" s="29"/>
      <c r="K233" s="29"/>
      <c r="L233" s="29"/>
      <c r="M233" s="19">
        <f>(20+28.716)/84.632*100</f>
        <v>57.562151432082423</v>
      </c>
      <c r="N233" s="20">
        <v>0</v>
      </c>
    </row>
    <row r="234" spans="1:20" ht="15.6" customHeight="1" x14ac:dyDescent="0.25">
      <c r="A234" s="68"/>
      <c r="B234" s="68"/>
      <c r="C234" s="68"/>
      <c r="D234" s="68"/>
      <c r="E234" s="68"/>
      <c r="F234" s="68"/>
      <c r="G234" s="68"/>
      <c r="K234" s="51"/>
      <c r="L234" s="51"/>
      <c r="M234" s="19">
        <f>(20+28.716)/84.632*100</f>
        <v>57.562151432082423</v>
      </c>
      <c r="N234" s="20">
        <v>20</v>
      </c>
    </row>
    <row r="235" spans="1:20" ht="15.6" customHeight="1" x14ac:dyDescent="0.25">
      <c r="K235" s="51"/>
      <c r="L235" s="51"/>
      <c r="M235" s="19">
        <v>0</v>
      </c>
      <c r="N235" s="20">
        <v>20</v>
      </c>
    </row>
    <row r="236" spans="1:20" ht="15.6" customHeight="1" x14ac:dyDescent="0.25">
      <c r="A236" s="65" t="s">
        <v>132</v>
      </c>
      <c r="B236" s="65"/>
      <c r="C236" s="65"/>
      <c r="D236" s="65"/>
      <c r="E236" s="65"/>
      <c r="F236" s="65"/>
      <c r="G236" s="65"/>
    </row>
    <row r="237" spans="1:20" ht="15.6" customHeight="1" x14ac:dyDescent="0.25"/>
    <row r="238" spans="1:20" ht="15.6" customHeight="1" x14ac:dyDescent="0.25">
      <c r="D238" s="51" t="s">
        <v>1</v>
      </c>
      <c r="F238" s="93" t="s">
        <v>139</v>
      </c>
      <c r="G238" s="93"/>
    </row>
    <row r="239" spans="1:20" ht="15.6" customHeight="1" x14ac:dyDescent="0.25">
      <c r="A239" s="65" t="s">
        <v>25</v>
      </c>
      <c r="B239" s="65"/>
      <c r="C239" s="65"/>
      <c r="D239" s="93" t="s">
        <v>52</v>
      </c>
      <c r="E239" s="93"/>
      <c r="F239" s="93"/>
    </row>
    <row r="240" spans="1:20" ht="15.6" customHeight="1" x14ac:dyDescent="0.25">
      <c r="A240" s="65" t="s">
        <v>44</v>
      </c>
      <c r="B240" s="65"/>
      <c r="C240" s="65"/>
      <c r="D240" s="93" t="s">
        <v>53</v>
      </c>
      <c r="E240" s="93"/>
      <c r="F240" s="93"/>
    </row>
    <row r="241" spans="1:7" ht="15.6" customHeight="1" x14ac:dyDescent="0.25"/>
    <row r="242" spans="1:7" ht="15.6" customHeight="1" x14ac:dyDescent="0.25"/>
    <row r="243" spans="1:7" ht="48" customHeight="1" x14ac:dyDescent="0.25">
      <c r="A243" s="25" t="s">
        <v>27</v>
      </c>
      <c r="B243" s="100" t="s">
        <v>108</v>
      </c>
      <c r="C243" s="101"/>
      <c r="D243" s="30" t="s">
        <v>74</v>
      </c>
      <c r="E243" s="30" t="s">
        <v>75</v>
      </c>
      <c r="F243" s="30" t="s">
        <v>76</v>
      </c>
      <c r="G243" s="31" t="s">
        <v>32</v>
      </c>
    </row>
    <row r="244" spans="1:7" ht="15.6" customHeight="1" x14ac:dyDescent="0.25">
      <c r="A244" s="94" t="s">
        <v>106</v>
      </c>
      <c r="B244" s="26">
        <v>18.3</v>
      </c>
      <c r="C244" s="97">
        <f>AVERAGE(B244:B246)</f>
        <v>18.05</v>
      </c>
      <c r="D244" s="97">
        <v>40.4</v>
      </c>
      <c r="E244" s="97">
        <v>58.1</v>
      </c>
      <c r="F244" s="97">
        <v>51.8</v>
      </c>
      <c r="G244" s="91">
        <f>(E244-F244)/(F244-D244)*100</f>
        <v>55.263157894736892</v>
      </c>
    </row>
    <row r="245" spans="1:7" ht="15.6" customHeight="1" x14ac:dyDescent="0.25">
      <c r="A245" s="95"/>
      <c r="B245" s="26">
        <v>17.8</v>
      </c>
      <c r="C245" s="98"/>
      <c r="D245" s="98"/>
      <c r="E245" s="98"/>
      <c r="F245" s="98"/>
      <c r="G245" s="91"/>
    </row>
    <row r="246" spans="1:7" ht="15.6" customHeight="1" x14ac:dyDescent="0.25">
      <c r="A246" s="96"/>
      <c r="B246" s="26"/>
      <c r="C246" s="99"/>
      <c r="D246" s="99"/>
      <c r="E246" s="99"/>
      <c r="F246" s="99"/>
      <c r="G246" s="91"/>
    </row>
    <row r="247" spans="1:7" ht="15.6" customHeight="1" x14ac:dyDescent="0.25">
      <c r="A247" s="94" t="s">
        <v>107</v>
      </c>
      <c r="B247" s="26">
        <v>19</v>
      </c>
      <c r="C247" s="97">
        <f t="shared" ref="C247" si="90">AVERAGE(B247:B249)</f>
        <v>19.25</v>
      </c>
      <c r="D247" s="97">
        <v>44.1</v>
      </c>
      <c r="E247" s="97">
        <v>77.5</v>
      </c>
      <c r="F247" s="97">
        <v>65.2</v>
      </c>
      <c r="G247" s="91">
        <f t="shared" ref="G247" si="91">(E247-F247)/(F247-D247)*100</f>
        <v>58.29383886255922</v>
      </c>
    </row>
    <row r="248" spans="1:7" ht="15.6" customHeight="1" x14ac:dyDescent="0.25">
      <c r="A248" s="95"/>
      <c r="B248" s="26">
        <v>19.5</v>
      </c>
      <c r="C248" s="98"/>
      <c r="D248" s="98"/>
      <c r="E248" s="98"/>
      <c r="F248" s="98"/>
      <c r="G248" s="91"/>
    </row>
    <row r="249" spans="1:7" ht="15.6" customHeight="1" x14ac:dyDescent="0.25">
      <c r="A249" s="96"/>
      <c r="B249" s="26"/>
      <c r="C249" s="99"/>
      <c r="D249" s="99"/>
      <c r="E249" s="99"/>
      <c r="F249" s="99"/>
      <c r="G249" s="91"/>
    </row>
    <row r="250" spans="1:7" ht="15.6" customHeight="1" x14ac:dyDescent="0.25">
      <c r="A250" s="94" t="s">
        <v>83</v>
      </c>
      <c r="B250" s="26">
        <v>22.3</v>
      </c>
      <c r="C250" s="97">
        <f t="shared" ref="C250" si="92">AVERAGE(B250:B252)</f>
        <v>22.35</v>
      </c>
      <c r="D250" s="97">
        <v>41.9</v>
      </c>
      <c r="E250" s="97">
        <v>63.1</v>
      </c>
      <c r="F250" s="97">
        <v>55.1</v>
      </c>
      <c r="G250" s="91">
        <f t="shared" ref="G250" si="93">(E250-F250)/(F250-D250)*100</f>
        <v>60.606060606060595</v>
      </c>
    </row>
    <row r="251" spans="1:7" ht="15.6" customHeight="1" x14ac:dyDescent="0.25">
      <c r="A251" s="95"/>
      <c r="B251" s="26">
        <v>22.4</v>
      </c>
      <c r="C251" s="98"/>
      <c r="D251" s="98"/>
      <c r="E251" s="98"/>
      <c r="F251" s="98"/>
      <c r="G251" s="91"/>
    </row>
    <row r="252" spans="1:7" ht="15.6" customHeight="1" x14ac:dyDescent="0.25">
      <c r="A252" s="96"/>
      <c r="B252" s="26"/>
      <c r="C252" s="99"/>
      <c r="D252" s="99"/>
      <c r="E252" s="99"/>
      <c r="F252" s="99"/>
      <c r="G252" s="91"/>
    </row>
    <row r="253" spans="1:7" ht="15.6" customHeight="1" x14ac:dyDescent="0.25">
      <c r="A253" s="94" t="s">
        <v>66</v>
      </c>
      <c r="B253" s="26">
        <v>23</v>
      </c>
      <c r="C253" s="97">
        <f t="shared" ref="C253" si="94">AVERAGE(B253:B255)</f>
        <v>23.1</v>
      </c>
      <c r="D253" s="97">
        <v>42.7</v>
      </c>
      <c r="E253" s="97">
        <v>72.099999999999994</v>
      </c>
      <c r="F253" s="97">
        <v>60.7</v>
      </c>
      <c r="G253" s="91">
        <f t="shared" ref="G253" si="95">(E253-F253)/(F253-D253)*100</f>
        <v>63.333333333333286</v>
      </c>
    </row>
    <row r="254" spans="1:7" ht="15.6" customHeight="1" x14ac:dyDescent="0.25">
      <c r="A254" s="95"/>
      <c r="B254" s="26">
        <v>23.2</v>
      </c>
      <c r="C254" s="98"/>
      <c r="D254" s="98"/>
      <c r="E254" s="98"/>
      <c r="F254" s="98"/>
      <c r="G254" s="91"/>
    </row>
    <row r="255" spans="1:7" ht="15.6" customHeight="1" x14ac:dyDescent="0.25">
      <c r="A255" s="96"/>
      <c r="B255" s="26"/>
      <c r="C255" s="99"/>
      <c r="D255" s="99"/>
      <c r="E255" s="99"/>
      <c r="F255" s="99"/>
      <c r="G255" s="91"/>
    </row>
    <row r="256" spans="1:7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spans="1:14" ht="15.6" customHeight="1" x14ac:dyDescent="0.25"/>
    <row r="274" spans="1:14" ht="15.6" customHeight="1" x14ac:dyDescent="0.25">
      <c r="B274" s="90" t="s">
        <v>136</v>
      </c>
      <c r="C274" s="90"/>
      <c r="D274" s="90"/>
      <c r="E274" s="71">
        <v>58</v>
      </c>
      <c r="F274" s="72"/>
    </row>
    <row r="275" spans="1:14" ht="15.6" customHeight="1" x14ac:dyDescent="0.25">
      <c r="B275" s="90"/>
      <c r="C275" s="90"/>
      <c r="D275" s="90"/>
      <c r="E275" s="73"/>
      <c r="F275" s="74"/>
    </row>
    <row r="276" spans="1:14" ht="15.6" customHeight="1" x14ac:dyDescent="0.25">
      <c r="I276" s="29"/>
      <c r="J276" s="29"/>
      <c r="K276" s="29"/>
      <c r="L276" s="18">
        <f>(20+19.718)/68.052*100</f>
        <v>58.364192088402987</v>
      </c>
      <c r="M276" s="20">
        <v>0</v>
      </c>
      <c r="N276" s="20"/>
    </row>
    <row r="277" spans="1:14" ht="15.6" customHeight="1" x14ac:dyDescent="0.25">
      <c r="A277" s="68" t="s">
        <v>114</v>
      </c>
      <c r="B277" s="68"/>
      <c r="C277" s="68"/>
      <c r="D277" s="68"/>
      <c r="E277" s="68"/>
      <c r="F277" s="68"/>
      <c r="G277" s="68"/>
      <c r="K277" s="51"/>
      <c r="L277" s="18">
        <f>(20+19.718)/68.052*100</f>
        <v>58.364192088402987</v>
      </c>
      <c r="M277" s="53">
        <v>20</v>
      </c>
      <c r="N277" s="20"/>
    </row>
    <row r="278" spans="1:14" ht="15.6" customHeight="1" x14ac:dyDescent="0.25">
      <c r="A278" s="68"/>
      <c r="B278" s="68"/>
      <c r="C278" s="68"/>
      <c r="D278" s="68"/>
      <c r="E278" s="68"/>
      <c r="F278" s="68"/>
      <c r="G278" s="68"/>
      <c r="K278" s="51"/>
      <c r="L278" s="18">
        <v>0</v>
      </c>
      <c r="M278" s="53">
        <v>20</v>
      </c>
      <c r="N278" s="20"/>
    </row>
    <row r="279" spans="1:14" ht="15.6" customHeight="1" x14ac:dyDescent="0.25">
      <c r="A279" s="68" t="s">
        <v>0</v>
      </c>
      <c r="B279" s="68"/>
      <c r="C279" s="68"/>
      <c r="D279" s="68"/>
      <c r="E279" s="68"/>
      <c r="F279" s="68"/>
      <c r="G279" s="68"/>
    </row>
    <row r="280" spans="1:14" ht="15.6" customHeight="1" x14ac:dyDescent="0.25">
      <c r="A280" s="68"/>
      <c r="B280" s="68"/>
      <c r="C280" s="68"/>
      <c r="D280" s="68"/>
      <c r="E280" s="68"/>
      <c r="F280" s="68"/>
      <c r="G280" s="68"/>
    </row>
    <row r="281" spans="1:14" ht="15.6" customHeight="1" x14ac:dyDescent="0.25"/>
    <row r="282" spans="1:14" ht="15.6" customHeight="1" x14ac:dyDescent="0.25">
      <c r="A282" s="65" t="s">
        <v>132</v>
      </c>
      <c r="B282" s="65"/>
      <c r="C282" s="65"/>
      <c r="D282" s="65"/>
      <c r="E282" s="65"/>
      <c r="F282" s="65"/>
      <c r="G282" s="65"/>
    </row>
    <row r="283" spans="1:14" ht="15.6" customHeight="1" x14ac:dyDescent="0.25"/>
    <row r="284" spans="1:14" ht="15.6" customHeight="1" x14ac:dyDescent="0.25">
      <c r="D284" s="51" t="s">
        <v>1</v>
      </c>
      <c r="F284" s="93" t="s">
        <v>139</v>
      </c>
      <c r="G284" s="93"/>
    </row>
    <row r="285" spans="1:14" ht="15.6" customHeight="1" x14ac:dyDescent="0.25">
      <c r="A285" s="65" t="s">
        <v>25</v>
      </c>
      <c r="B285" s="65"/>
      <c r="C285" s="65"/>
      <c r="D285" s="93" t="s">
        <v>52</v>
      </c>
      <c r="E285" s="93"/>
      <c r="F285" s="93"/>
    </row>
    <row r="286" spans="1:14" ht="15.6" customHeight="1" x14ac:dyDescent="0.25">
      <c r="A286" s="65" t="s">
        <v>44</v>
      </c>
      <c r="B286" s="65"/>
      <c r="C286" s="65"/>
      <c r="D286" s="93" t="s">
        <v>53</v>
      </c>
      <c r="E286" s="93"/>
      <c r="F286" s="93"/>
    </row>
    <row r="287" spans="1:14" ht="15.6" customHeight="1" x14ac:dyDescent="0.25"/>
    <row r="288" spans="1:14" ht="15.6" customHeight="1" x14ac:dyDescent="0.25"/>
    <row r="289" spans="1:7" ht="48" customHeight="1" x14ac:dyDescent="0.25">
      <c r="A289" s="25" t="s">
        <v>27</v>
      </c>
      <c r="B289" s="100" t="s">
        <v>108</v>
      </c>
      <c r="C289" s="101"/>
      <c r="D289" s="30" t="s">
        <v>74</v>
      </c>
      <c r="E289" s="30" t="s">
        <v>75</v>
      </c>
      <c r="F289" s="30" t="s">
        <v>76</v>
      </c>
      <c r="G289" s="31" t="s">
        <v>32</v>
      </c>
    </row>
    <row r="290" spans="1:7" ht="15.6" customHeight="1" x14ac:dyDescent="0.25">
      <c r="A290" s="94" t="s">
        <v>102</v>
      </c>
      <c r="B290" s="26">
        <v>16.100000000000001</v>
      </c>
      <c r="C290" s="97">
        <f>AVERAGE(B290:B292)</f>
        <v>15.950000000000001</v>
      </c>
      <c r="D290" s="97">
        <v>47.2</v>
      </c>
      <c r="E290" s="97">
        <v>72.3</v>
      </c>
      <c r="F290" s="97">
        <v>63.8</v>
      </c>
      <c r="G290" s="91">
        <f>(E290-F290)/(F290-D290)*100</f>
        <v>51.204819277108449</v>
      </c>
    </row>
    <row r="291" spans="1:7" ht="15.6" customHeight="1" x14ac:dyDescent="0.25">
      <c r="A291" s="95"/>
      <c r="B291" s="26">
        <v>15.8</v>
      </c>
      <c r="C291" s="98"/>
      <c r="D291" s="98"/>
      <c r="E291" s="98"/>
      <c r="F291" s="98"/>
      <c r="G291" s="91"/>
    </row>
    <row r="292" spans="1:7" ht="15.6" customHeight="1" x14ac:dyDescent="0.25">
      <c r="A292" s="96"/>
      <c r="B292" s="26"/>
      <c r="C292" s="99"/>
      <c r="D292" s="99"/>
      <c r="E292" s="99"/>
      <c r="F292" s="99"/>
      <c r="G292" s="91"/>
    </row>
    <row r="293" spans="1:7" ht="15.6" customHeight="1" x14ac:dyDescent="0.25">
      <c r="A293" s="94" t="s">
        <v>103</v>
      </c>
      <c r="B293" s="26">
        <v>18.100000000000001</v>
      </c>
      <c r="C293" s="97">
        <f t="shared" ref="C293" si="96">AVERAGE(B293:B295)</f>
        <v>17.899999999999999</v>
      </c>
      <c r="D293" s="97">
        <v>51.7</v>
      </c>
      <c r="E293" s="97">
        <v>89.8</v>
      </c>
      <c r="F293" s="97">
        <v>76.400000000000006</v>
      </c>
      <c r="G293" s="91">
        <f t="shared" ref="G293" si="97">(E293-F293)/(F293-D293)*100</f>
        <v>54.251012145748945</v>
      </c>
    </row>
    <row r="294" spans="1:7" ht="15.6" customHeight="1" x14ac:dyDescent="0.25">
      <c r="A294" s="95"/>
      <c r="B294" s="26">
        <v>17.7</v>
      </c>
      <c r="C294" s="98"/>
      <c r="D294" s="98"/>
      <c r="E294" s="98"/>
      <c r="F294" s="98"/>
      <c r="G294" s="91"/>
    </row>
    <row r="295" spans="1:7" ht="15.6" customHeight="1" x14ac:dyDescent="0.25">
      <c r="A295" s="96"/>
      <c r="B295" s="26"/>
      <c r="C295" s="99"/>
      <c r="D295" s="99"/>
      <c r="E295" s="99"/>
      <c r="F295" s="99"/>
      <c r="G295" s="91"/>
    </row>
    <row r="296" spans="1:7" ht="15.6" customHeight="1" x14ac:dyDescent="0.25">
      <c r="A296" s="94" t="s">
        <v>104</v>
      </c>
      <c r="B296" s="26">
        <v>20.399999999999999</v>
      </c>
      <c r="C296" s="97">
        <f t="shared" ref="C296" si="98">AVERAGE(B296:B298)</f>
        <v>20.149999999999999</v>
      </c>
      <c r="D296" s="97">
        <v>39.5</v>
      </c>
      <c r="E296" s="97">
        <v>70.900000000000006</v>
      </c>
      <c r="F296" s="97">
        <v>59.5</v>
      </c>
      <c r="G296" s="91">
        <f t="shared" ref="G296" si="99">(E296-F296)/(F296-D296)*100</f>
        <v>57.000000000000028</v>
      </c>
    </row>
    <row r="297" spans="1:7" ht="15.6" customHeight="1" x14ac:dyDescent="0.25">
      <c r="A297" s="95"/>
      <c r="B297" s="26">
        <v>19.899999999999999</v>
      </c>
      <c r="C297" s="98"/>
      <c r="D297" s="98"/>
      <c r="E297" s="98"/>
      <c r="F297" s="98"/>
      <c r="G297" s="91"/>
    </row>
    <row r="298" spans="1:7" ht="15.6" customHeight="1" x14ac:dyDescent="0.25">
      <c r="A298" s="96"/>
      <c r="B298" s="26"/>
      <c r="C298" s="99"/>
      <c r="D298" s="99"/>
      <c r="E298" s="99"/>
      <c r="F298" s="99"/>
      <c r="G298" s="91"/>
    </row>
    <row r="299" spans="1:7" ht="15.6" customHeight="1" x14ac:dyDescent="0.25">
      <c r="A299" s="94" t="s">
        <v>105</v>
      </c>
      <c r="B299" s="26">
        <v>25.5</v>
      </c>
      <c r="C299" s="97">
        <f t="shared" ref="C299" si="100">AVERAGE(B299:B301)</f>
        <v>25.35</v>
      </c>
      <c r="D299" s="97">
        <v>45.7</v>
      </c>
      <c r="E299" s="97">
        <v>78.3</v>
      </c>
      <c r="F299" s="97">
        <v>66</v>
      </c>
      <c r="G299" s="91">
        <f t="shared" ref="G299" si="101">(E299-F299)/(F299-D299)*100</f>
        <v>60.5911330049261</v>
      </c>
    </row>
    <row r="300" spans="1:7" ht="15.6" customHeight="1" x14ac:dyDescent="0.25">
      <c r="A300" s="95"/>
      <c r="B300" s="26">
        <v>25.2</v>
      </c>
      <c r="C300" s="98"/>
      <c r="D300" s="98"/>
      <c r="E300" s="98"/>
      <c r="F300" s="98"/>
      <c r="G300" s="91"/>
    </row>
    <row r="301" spans="1:7" ht="15.6" customHeight="1" x14ac:dyDescent="0.25">
      <c r="A301" s="96"/>
      <c r="B301" s="26"/>
      <c r="C301" s="99"/>
      <c r="D301" s="99"/>
      <c r="E301" s="99"/>
      <c r="F301" s="99"/>
      <c r="G301" s="91"/>
    </row>
    <row r="302" spans="1:7" ht="15.6" customHeight="1" x14ac:dyDescent="0.25"/>
    <row r="303" spans="1:7" ht="15.6" customHeight="1" x14ac:dyDescent="0.25"/>
    <row r="304" spans="1:7" ht="15.6" customHeight="1" x14ac:dyDescent="0.25"/>
    <row r="305" spans="2:13" ht="15.6" customHeight="1" x14ac:dyDescent="0.25"/>
    <row r="306" spans="2:13" ht="15.6" customHeight="1" x14ac:dyDescent="0.25"/>
    <row r="307" spans="2:13" ht="15.6" customHeight="1" x14ac:dyDescent="0.25"/>
    <row r="308" spans="2:13" ht="15.6" customHeight="1" x14ac:dyDescent="0.25"/>
    <row r="309" spans="2:13" ht="15.6" customHeight="1" x14ac:dyDescent="0.25"/>
    <row r="310" spans="2:13" ht="15.6" customHeight="1" x14ac:dyDescent="0.25"/>
    <row r="311" spans="2:13" ht="15.6" customHeight="1" x14ac:dyDescent="0.25"/>
    <row r="312" spans="2:13" ht="15.6" customHeight="1" x14ac:dyDescent="0.25"/>
    <row r="313" spans="2:13" ht="15.6" customHeight="1" x14ac:dyDescent="0.25"/>
    <row r="314" spans="2:13" ht="15.6" customHeight="1" x14ac:dyDescent="0.25"/>
    <row r="315" spans="2:13" ht="15.6" customHeight="1" x14ac:dyDescent="0.25"/>
    <row r="316" spans="2:13" ht="15.6" customHeight="1" x14ac:dyDescent="0.25"/>
    <row r="317" spans="2:13" ht="15.6" customHeight="1" x14ac:dyDescent="0.25">
      <c r="I317" s="29"/>
      <c r="J317" s="29"/>
      <c r="K317" s="29"/>
      <c r="L317" s="18">
        <f>(20+35.63)/99.472*100</f>
        <v>55.925285507479494</v>
      </c>
      <c r="M317" s="20">
        <v>0</v>
      </c>
    </row>
    <row r="318" spans="2:13" ht="15.6" customHeight="1" x14ac:dyDescent="0.25">
      <c r="K318" s="51"/>
      <c r="L318" s="18">
        <f>(20+35.63)/99.472*100</f>
        <v>55.925285507479494</v>
      </c>
      <c r="M318" s="53">
        <v>20</v>
      </c>
    </row>
    <row r="319" spans="2:13" ht="15.6" customHeight="1" x14ac:dyDescent="0.25">
      <c r="K319" s="51"/>
      <c r="L319" s="18">
        <v>0</v>
      </c>
      <c r="M319" s="53">
        <v>20</v>
      </c>
    </row>
    <row r="320" spans="2:13" ht="15.6" customHeight="1" x14ac:dyDescent="0.25">
      <c r="B320" s="90" t="s">
        <v>136</v>
      </c>
      <c r="C320" s="90"/>
      <c r="D320" s="90"/>
      <c r="E320" s="71">
        <v>56</v>
      </c>
      <c r="F320" s="72"/>
    </row>
    <row r="321" spans="1:7" ht="15.6" customHeight="1" x14ac:dyDescent="0.25">
      <c r="B321" s="90"/>
      <c r="C321" s="90"/>
      <c r="D321" s="90"/>
      <c r="E321" s="73"/>
      <c r="F321" s="74"/>
    </row>
    <row r="322" spans="1:7" ht="15.6" customHeight="1" x14ac:dyDescent="0.25"/>
    <row r="323" spans="1:7" ht="15.6" customHeight="1" x14ac:dyDescent="0.25">
      <c r="A323" s="68" t="s">
        <v>138</v>
      </c>
      <c r="B323" s="68"/>
      <c r="C323" s="68"/>
      <c r="D323" s="68"/>
      <c r="E323" s="68"/>
      <c r="F323" s="68"/>
      <c r="G323" s="68"/>
    </row>
    <row r="324" spans="1:7" ht="15.6" customHeight="1" x14ac:dyDescent="0.25">
      <c r="A324" s="68"/>
      <c r="B324" s="68"/>
      <c r="C324" s="68"/>
      <c r="D324" s="68"/>
      <c r="E324" s="68"/>
      <c r="F324" s="68"/>
      <c r="G324" s="68"/>
    </row>
    <row r="325" spans="1:7" ht="15.6" customHeight="1" x14ac:dyDescent="0.25">
      <c r="A325" s="68" t="s">
        <v>0</v>
      </c>
      <c r="B325" s="68"/>
      <c r="C325" s="68"/>
      <c r="D325" s="68"/>
      <c r="E325" s="68"/>
      <c r="F325" s="68"/>
      <c r="G325" s="68"/>
    </row>
    <row r="326" spans="1:7" ht="15.6" customHeight="1" x14ac:dyDescent="0.25">
      <c r="A326" s="68"/>
      <c r="B326" s="68"/>
      <c r="C326" s="68"/>
      <c r="D326" s="68"/>
      <c r="E326" s="68"/>
      <c r="F326" s="68"/>
      <c r="G326" s="68"/>
    </row>
    <row r="327" spans="1:7" ht="15.6" customHeight="1" x14ac:dyDescent="0.25"/>
    <row r="328" spans="1:7" ht="15.6" customHeight="1" x14ac:dyDescent="0.25">
      <c r="A328" s="65" t="s">
        <v>132</v>
      </c>
      <c r="B328" s="65"/>
      <c r="C328" s="65"/>
      <c r="D328" s="65"/>
      <c r="E328" s="65"/>
      <c r="F328" s="65"/>
      <c r="G328" s="65"/>
    </row>
    <row r="329" spans="1:7" ht="15.6" customHeight="1" x14ac:dyDescent="0.25"/>
    <row r="330" spans="1:7" ht="15.6" customHeight="1" x14ac:dyDescent="0.25">
      <c r="D330" s="51" t="s">
        <v>1</v>
      </c>
      <c r="F330" s="93" t="s">
        <v>139</v>
      </c>
      <c r="G330" s="93"/>
    </row>
    <row r="331" spans="1:7" ht="15.6" customHeight="1" x14ac:dyDescent="0.25">
      <c r="A331" s="65" t="s">
        <v>25</v>
      </c>
      <c r="B331" s="65"/>
      <c r="C331" s="65"/>
      <c r="D331" s="93" t="s">
        <v>52</v>
      </c>
      <c r="E331" s="93"/>
      <c r="F331" s="93"/>
    </row>
    <row r="332" spans="1:7" ht="15.6" customHeight="1" x14ac:dyDescent="0.25">
      <c r="A332" s="65" t="s">
        <v>44</v>
      </c>
      <c r="B332" s="65"/>
      <c r="C332" s="65"/>
      <c r="D332" s="93" t="s">
        <v>53</v>
      </c>
      <c r="E332" s="93"/>
      <c r="F332" s="93"/>
    </row>
    <row r="333" spans="1:7" ht="15.6" customHeight="1" x14ac:dyDescent="0.25"/>
    <row r="334" spans="1:7" ht="15.6" customHeight="1" x14ac:dyDescent="0.25"/>
    <row r="335" spans="1:7" ht="48" customHeight="1" x14ac:dyDescent="0.25">
      <c r="A335" s="25" t="s">
        <v>27</v>
      </c>
      <c r="B335" s="100" t="s">
        <v>108</v>
      </c>
      <c r="C335" s="101"/>
      <c r="D335" s="30" t="s">
        <v>74</v>
      </c>
      <c r="E335" s="30" t="s">
        <v>75</v>
      </c>
      <c r="F335" s="30" t="s">
        <v>76</v>
      </c>
      <c r="G335" s="31" t="s">
        <v>32</v>
      </c>
    </row>
    <row r="336" spans="1:7" ht="15.6" customHeight="1" x14ac:dyDescent="0.25">
      <c r="A336" s="94" t="s">
        <v>106</v>
      </c>
      <c r="B336" s="26">
        <v>18.2</v>
      </c>
      <c r="C336" s="97">
        <f>AVERAGE(B336:B338)</f>
        <v>18.049999999999997</v>
      </c>
      <c r="D336" s="97">
        <v>40.4</v>
      </c>
      <c r="E336" s="97">
        <v>57.6</v>
      </c>
      <c r="F336" s="97">
        <v>51.6</v>
      </c>
      <c r="G336" s="91">
        <f>(E336-F336)/(F336-D336)*100</f>
        <v>53.571428571428555</v>
      </c>
    </row>
    <row r="337" spans="1:7" ht="15.6" customHeight="1" x14ac:dyDescent="0.25">
      <c r="A337" s="95"/>
      <c r="B337" s="26">
        <v>17.899999999999999</v>
      </c>
      <c r="C337" s="98"/>
      <c r="D337" s="98"/>
      <c r="E337" s="98"/>
      <c r="F337" s="98"/>
      <c r="G337" s="91"/>
    </row>
    <row r="338" spans="1:7" ht="15.6" customHeight="1" x14ac:dyDescent="0.25">
      <c r="A338" s="96"/>
      <c r="B338" s="26"/>
      <c r="C338" s="99"/>
      <c r="D338" s="99"/>
      <c r="E338" s="99"/>
      <c r="F338" s="99"/>
      <c r="G338" s="91"/>
    </row>
    <row r="339" spans="1:7" ht="15.6" customHeight="1" x14ac:dyDescent="0.25">
      <c r="A339" s="94" t="s">
        <v>107</v>
      </c>
      <c r="B339" s="26">
        <v>19.100000000000001</v>
      </c>
      <c r="C339" s="97">
        <f t="shared" ref="C339" si="102">AVERAGE(B339:B341)</f>
        <v>19.25</v>
      </c>
      <c r="D339" s="97">
        <v>44.1</v>
      </c>
      <c r="E339" s="97">
        <v>67.2</v>
      </c>
      <c r="F339" s="97">
        <v>59</v>
      </c>
      <c r="G339" s="91">
        <f t="shared" ref="G339" si="103">(E339-F339)/(F339-D339)*100</f>
        <v>55.033557046979887</v>
      </c>
    </row>
    <row r="340" spans="1:7" ht="15.6" customHeight="1" x14ac:dyDescent="0.25">
      <c r="A340" s="95"/>
      <c r="B340" s="26">
        <v>19.399999999999999</v>
      </c>
      <c r="C340" s="98"/>
      <c r="D340" s="98"/>
      <c r="E340" s="98"/>
      <c r="F340" s="98"/>
      <c r="G340" s="91"/>
    </row>
    <row r="341" spans="1:7" ht="15.6" customHeight="1" x14ac:dyDescent="0.25">
      <c r="A341" s="96"/>
      <c r="B341" s="26"/>
      <c r="C341" s="99"/>
      <c r="D341" s="99"/>
      <c r="E341" s="99"/>
      <c r="F341" s="99"/>
      <c r="G341" s="91"/>
    </row>
    <row r="342" spans="1:7" ht="15.6" customHeight="1" x14ac:dyDescent="0.25">
      <c r="A342" s="94" t="s">
        <v>83</v>
      </c>
      <c r="B342" s="26">
        <v>22.7</v>
      </c>
      <c r="C342" s="97">
        <f t="shared" ref="C342" si="104">AVERAGE(B342:B344)</f>
        <v>22.366666666666664</v>
      </c>
      <c r="D342" s="97">
        <v>41.9</v>
      </c>
      <c r="E342" s="97">
        <v>67.8</v>
      </c>
      <c r="F342" s="97">
        <v>58.4</v>
      </c>
      <c r="G342" s="91">
        <f t="shared" ref="G342" si="105">(E342-F342)/(F342-D342)*100</f>
        <v>56.969696969696962</v>
      </c>
    </row>
    <row r="343" spans="1:7" ht="15.6" customHeight="1" x14ac:dyDescent="0.25">
      <c r="A343" s="95"/>
      <c r="B343" s="26">
        <v>22.1</v>
      </c>
      <c r="C343" s="98"/>
      <c r="D343" s="98"/>
      <c r="E343" s="98"/>
      <c r="F343" s="98"/>
      <c r="G343" s="91"/>
    </row>
    <row r="344" spans="1:7" ht="15.6" customHeight="1" x14ac:dyDescent="0.25">
      <c r="A344" s="96"/>
      <c r="B344" s="26">
        <v>22.3</v>
      </c>
      <c r="C344" s="99"/>
      <c r="D344" s="99"/>
      <c r="E344" s="99"/>
      <c r="F344" s="99"/>
      <c r="G344" s="91"/>
    </row>
    <row r="345" spans="1:7" ht="15.6" customHeight="1" x14ac:dyDescent="0.25">
      <c r="A345" s="94" t="s">
        <v>66</v>
      </c>
      <c r="B345" s="26">
        <v>22</v>
      </c>
      <c r="C345" s="97">
        <f t="shared" ref="C345" si="106">AVERAGE(B345:B347)</f>
        <v>22.05</v>
      </c>
      <c r="D345" s="97">
        <v>42.7</v>
      </c>
      <c r="E345" s="97">
        <v>69.3</v>
      </c>
      <c r="F345" s="97">
        <v>59.5</v>
      </c>
      <c r="G345" s="91">
        <f t="shared" ref="G345" si="107">(E345-F345)/(F345-D345)*100</f>
        <v>58.333333333333329</v>
      </c>
    </row>
    <row r="346" spans="1:7" ht="15.6" customHeight="1" x14ac:dyDescent="0.25">
      <c r="A346" s="95"/>
      <c r="B346" s="26">
        <v>22.1</v>
      </c>
      <c r="C346" s="98"/>
      <c r="D346" s="98"/>
      <c r="E346" s="98"/>
      <c r="F346" s="98"/>
      <c r="G346" s="91"/>
    </row>
    <row r="347" spans="1:7" ht="15.6" customHeight="1" x14ac:dyDescent="0.25">
      <c r="A347" s="96"/>
      <c r="B347" s="26"/>
      <c r="C347" s="99"/>
      <c r="D347" s="99"/>
      <c r="E347" s="99"/>
      <c r="F347" s="99"/>
      <c r="G347" s="91"/>
    </row>
    <row r="348" spans="1:7" ht="15.6" customHeight="1" x14ac:dyDescent="0.25"/>
    <row r="349" spans="1:7" ht="15.6" customHeight="1" x14ac:dyDescent="0.25"/>
    <row r="350" spans="1:7" ht="15.6" customHeight="1" x14ac:dyDescent="0.25"/>
    <row r="351" spans="1:7" ht="15.6" customHeight="1" x14ac:dyDescent="0.25"/>
    <row r="352" spans="1:7" ht="15.6" customHeight="1" x14ac:dyDescent="0.25"/>
    <row r="353" spans="2:6" ht="15.6" customHeight="1" x14ac:dyDescent="0.25"/>
    <row r="354" spans="2:6" ht="15.6" customHeight="1" x14ac:dyDescent="0.25"/>
    <row r="355" spans="2:6" ht="15.6" customHeight="1" x14ac:dyDescent="0.25"/>
    <row r="356" spans="2:6" ht="15.6" customHeight="1" x14ac:dyDescent="0.25"/>
    <row r="357" spans="2:6" ht="15.6" customHeight="1" x14ac:dyDescent="0.25"/>
    <row r="358" spans="2:6" ht="15.6" customHeight="1" x14ac:dyDescent="0.25"/>
    <row r="359" spans="2:6" ht="15.6" customHeight="1" x14ac:dyDescent="0.25"/>
    <row r="360" spans="2:6" ht="15.6" customHeight="1" x14ac:dyDescent="0.25"/>
    <row r="361" spans="2:6" ht="15.6" customHeight="1" x14ac:dyDescent="0.25"/>
    <row r="362" spans="2:6" ht="15.6" customHeight="1" x14ac:dyDescent="0.25"/>
    <row r="363" spans="2:6" ht="15.6" customHeight="1" x14ac:dyDescent="0.25"/>
    <row r="364" spans="2:6" ht="15.6" customHeight="1" x14ac:dyDescent="0.25"/>
    <row r="365" spans="2:6" ht="15.6" customHeight="1" x14ac:dyDescent="0.25"/>
    <row r="366" spans="2:6" ht="15.6" customHeight="1" x14ac:dyDescent="0.25">
      <c r="B366" s="90" t="s">
        <v>136</v>
      </c>
      <c r="C366" s="90"/>
      <c r="D366" s="90"/>
      <c r="E366" s="71">
        <v>56</v>
      </c>
      <c r="F366" s="72"/>
    </row>
    <row r="367" spans="2:6" ht="15.6" customHeight="1" x14ac:dyDescent="0.25">
      <c r="B367" s="90"/>
      <c r="C367" s="90"/>
      <c r="D367" s="90"/>
      <c r="E367" s="73"/>
      <c r="F367" s="74"/>
    </row>
    <row r="368" spans="2:6" ht="15.6" customHeight="1" x14ac:dyDescent="0.25">
      <c r="E368" s="18">
        <f>(20+32.852)/95.185*100</f>
        <v>55.525555497189686</v>
      </c>
      <c r="F368" s="53">
        <v>0</v>
      </c>
    </row>
    <row r="369" spans="5:6" ht="15.6" customHeight="1" x14ac:dyDescent="0.25">
      <c r="E369" s="18">
        <f>(20+32.852)/95.185*100</f>
        <v>55.525555497189686</v>
      </c>
      <c r="F369" s="53">
        <v>20</v>
      </c>
    </row>
    <row r="370" spans="5:6" ht="15.6" customHeight="1" x14ac:dyDescent="0.25">
      <c r="E370" s="53">
        <v>0.5</v>
      </c>
      <c r="F370" s="53">
        <v>20</v>
      </c>
    </row>
    <row r="371" spans="5:6" ht="15.6" customHeight="1" x14ac:dyDescent="0.25"/>
    <row r="372" spans="5:6" ht="15.6" customHeight="1" x14ac:dyDescent="0.25"/>
    <row r="373" spans="5:6" ht="15.6" customHeight="1" x14ac:dyDescent="0.25"/>
    <row r="374" spans="5:6" ht="15.6" customHeight="1" x14ac:dyDescent="0.25"/>
    <row r="375" spans="5:6" ht="15.6" customHeight="1" x14ac:dyDescent="0.25"/>
    <row r="376" spans="5:6" ht="15.6" customHeight="1" x14ac:dyDescent="0.25"/>
    <row r="377" spans="5:6" ht="15.6" customHeight="1" x14ac:dyDescent="0.25"/>
    <row r="378" spans="5:6" ht="15.6" customHeight="1" x14ac:dyDescent="0.25"/>
    <row r="379" spans="5:6" ht="15.6" customHeight="1" x14ac:dyDescent="0.25"/>
    <row r="380" spans="5:6" ht="15.6" customHeight="1" x14ac:dyDescent="0.25"/>
    <row r="381" spans="5:6" ht="15.6" customHeight="1" x14ac:dyDescent="0.25"/>
    <row r="382" spans="5:6" ht="15.6" customHeight="1" x14ac:dyDescent="0.25"/>
    <row r="383" spans="5:6" ht="15.6" customHeight="1" x14ac:dyDescent="0.25"/>
    <row r="384" spans="5:6" ht="15.6" customHeight="1" x14ac:dyDescent="0.25"/>
    <row r="385" ht="15.6" customHeight="1" x14ac:dyDescent="0.25"/>
  </sheetData>
  <mergeCells count="638">
    <mergeCell ref="H139:N140"/>
    <mergeCell ref="H141:N142"/>
    <mergeCell ref="H10:J10"/>
    <mergeCell ref="I13:J13"/>
    <mergeCell ref="A1:G2"/>
    <mergeCell ref="A3:G4"/>
    <mergeCell ref="A6:G6"/>
    <mergeCell ref="F17:F19"/>
    <mergeCell ref="G17:G19"/>
    <mergeCell ref="C14:C16"/>
    <mergeCell ref="A14:A16"/>
    <mergeCell ref="A17:A19"/>
    <mergeCell ref="A20:A22"/>
    <mergeCell ref="A23:A25"/>
    <mergeCell ref="D20:D22"/>
    <mergeCell ref="E20:E22"/>
    <mergeCell ref="D9:F9"/>
    <mergeCell ref="D10:F10"/>
    <mergeCell ref="A9:C9"/>
    <mergeCell ref="A10:C10"/>
    <mergeCell ref="A47:G48"/>
    <mergeCell ref="A49:G50"/>
    <mergeCell ref="B44:D45"/>
    <mergeCell ref="F20:F22"/>
    <mergeCell ref="G20:G22"/>
    <mergeCell ref="D23:D25"/>
    <mergeCell ref="E23:E25"/>
    <mergeCell ref="F23:F25"/>
    <mergeCell ref="G23:G25"/>
    <mergeCell ref="I136:K137"/>
    <mergeCell ref="L136:M137"/>
    <mergeCell ref="B13:C13"/>
    <mergeCell ref="D14:D16"/>
    <mergeCell ref="E14:E16"/>
    <mergeCell ref="F14:F16"/>
    <mergeCell ref="G14:G16"/>
    <mergeCell ref="D17:D19"/>
    <mergeCell ref="E17:E19"/>
    <mergeCell ref="C17:C19"/>
    <mergeCell ref="C20:C22"/>
    <mergeCell ref="C23:C25"/>
    <mergeCell ref="E44:F45"/>
    <mergeCell ref="B90:D91"/>
    <mergeCell ref="E90:F91"/>
    <mergeCell ref="A95:G96"/>
    <mergeCell ref="A98:G98"/>
    <mergeCell ref="A69:A71"/>
    <mergeCell ref="C69:C71"/>
    <mergeCell ref="A60:A62"/>
    <mergeCell ref="C60:C62"/>
    <mergeCell ref="D60:D62"/>
    <mergeCell ref="E60:E62"/>
    <mergeCell ref="F60:F62"/>
    <mergeCell ref="G60:G62"/>
    <mergeCell ref="A52:G52"/>
    <mergeCell ref="A55:C55"/>
    <mergeCell ref="D55:F55"/>
    <mergeCell ref="A56:C56"/>
    <mergeCell ref="D56:F56"/>
    <mergeCell ref="B59:C59"/>
    <mergeCell ref="F54:G54"/>
    <mergeCell ref="A66:A68"/>
    <mergeCell ref="C66:C68"/>
    <mergeCell ref="D66:D68"/>
    <mergeCell ref="E66:E68"/>
    <mergeCell ref="F66:F68"/>
    <mergeCell ref="G66:G68"/>
    <mergeCell ref="A63:A65"/>
    <mergeCell ref="C63:C65"/>
    <mergeCell ref="D63:D65"/>
    <mergeCell ref="E63:E65"/>
    <mergeCell ref="F63:F65"/>
    <mergeCell ref="G63:G65"/>
    <mergeCell ref="D69:D71"/>
    <mergeCell ref="E69:E71"/>
    <mergeCell ref="F69:F71"/>
    <mergeCell ref="G69:G71"/>
    <mergeCell ref="G109:G111"/>
    <mergeCell ref="A101:C101"/>
    <mergeCell ref="D101:F101"/>
    <mergeCell ref="A102:C102"/>
    <mergeCell ref="D102:F102"/>
    <mergeCell ref="B105:C105"/>
    <mergeCell ref="A106:A108"/>
    <mergeCell ref="C106:C108"/>
    <mergeCell ref="D106:D108"/>
    <mergeCell ref="E106:E108"/>
    <mergeCell ref="F106:F108"/>
    <mergeCell ref="B136:D137"/>
    <mergeCell ref="E136:F137"/>
    <mergeCell ref="A93:G94"/>
    <mergeCell ref="A139:G140"/>
    <mergeCell ref="A141:G142"/>
    <mergeCell ref="A144:G144"/>
    <mergeCell ref="A115:A117"/>
    <mergeCell ref="C115:C117"/>
    <mergeCell ref="D115:D117"/>
    <mergeCell ref="E115:E117"/>
    <mergeCell ref="F115:F117"/>
    <mergeCell ref="G115:G117"/>
    <mergeCell ref="A112:A114"/>
    <mergeCell ref="C112:C114"/>
    <mergeCell ref="D112:D114"/>
    <mergeCell ref="E112:E114"/>
    <mergeCell ref="F112:F114"/>
    <mergeCell ref="G112:G114"/>
    <mergeCell ref="G106:G108"/>
    <mergeCell ref="A109:A111"/>
    <mergeCell ref="C109:C111"/>
    <mergeCell ref="D109:D111"/>
    <mergeCell ref="E109:E111"/>
    <mergeCell ref="F109:F111"/>
    <mergeCell ref="A147:C147"/>
    <mergeCell ref="D147:F147"/>
    <mergeCell ref="A148:C148"/>
    <mergeCell ref="D148:F148"/>
    <mergeCell ref="B151:C151"/>
    <mergeCell ref="A152:A154"/>
    <mergeCell ref="C152:C154"/>
    <mergeCell ref="D152:D154"/>
    <mergeCell ref="E152:E154"/>
    <mergeCell ref="F152:F154"/>
    <mergeCell ref="A158:A160"/>
    <mergeCell ref="C158:C160"/>
    <mergeCell ref="D158:D160"/>
    <mergeCell ref="E158:E160"/>
    <mergeCell ref="F158:F160"/>
    <mergeCell ref="G158:G160"/>
    <mergeCell ref="G152:G154"/>
    <mergeCell ref="A155:A157"/>
    <mergeCell ref="C155:C157"/>
    <mergeCell ref="D155:D157"/>
    <mergeCell ref="E155:E157"/>
    <mergeCell ref="F155:F157"/>
    <mergeCell ref="G155:G157"/>
    <mergeCell ref="B182:D183"/>
    <mergeCell ref="E182:F183"/>
    <mergeCell ref="A185:G186"/>
    <mergeCell ref="A187:G188"/>
    <mergeCell ref="A190:G190"/>
    <mergeCell ref="A193:C193"/>
    <mergeCell ref="D193:F193"/>
    <mergeCell ref="A161:A163"/>
    <mergeCell ref="C161:C163"/>
    <mergeCell ref="D161:D163"/>
    <mergeCell ref="E161:E163"/>
    <mergeCell ref="F161:F163"/>
    <mergeCell ref="G161:G163"/>
    <mergeCell ref="G198:G200"/>
    <mergeCell ref="A201:A203"/>
    <mergeCell ref="C201:C203"/>
    <mergeCell ref="D201:D203"/>
    <mergeCell ref="E201:E203"/>
    <mergeCell ref="F201:F203"/>
    <mergeCell ref="G201:G203"/>
    <mergeCell ref="A194:C194"/>
    <mergeCell ref="D194:F194"/>
    <mergeCell ref="B197:C197"/>
    <mergeCell ref="A198:A200"/>
    <mergeCell ref="C198:C200"/>
    <mergeCell ref="D198:D200"/>
    <mergeCell ref="E198:E200"/>
    <mergeCell ref="F198:F200"/>
    <mergeCell ref="A207:A209"/>
    <mergeCell ref="C207:C209"/>
    <mergeCell ref="D207:D209"/>
    <mergeCell ref="E207:E209"/>
    <mergeCell ref="F207:F209"/>
    <mergeCell ref="G207:G209"/>
    <mergeCell ref="A204:A206"/>
    <mergeCell ref="C204:C206"/>
    <mergeCell ref="D204:D206"/>
    <mergeCell ref="E204:E206"/>
    <mergeCell ref="F204:F206"/>
    <mergeCell ref="G204:G206"/>
    <mergeCell ref="A240:C240"/>
    <mergeCell ref="D240:F240"/>
    <mergeCell ref="B243:C243"/>
    <mergeCell ref="A244:A246"/>
    <mergeCell ref="C244:C246"/>
    <mergeCell ref="D244:D246"/>
    <mergeCell ref="E244:E246"/>
    <mergeCell ref="F244:F246"/>
    <mergeCell ref="B228:D229"/>
    <mergeCell ref="E228:F229"/>
    <mergeCell ref="A231:G232"/>
    <mergeCell ref="A233:G234"/>
    <mergeCell ref="A236:G236"/>
    <mergeCell ref="A239:C239"/>
    <mergeCell ref="D239:F239"/>
    <mergeCell ref="A250:A252"/>
    <mergeCell ref="C250:C252"/>
    <mergeCell ref="D250:D252"/>
    <mergeCell ref="E250:E252"/>
    <mergeCell ref="F250:F252"/>
    <mergeCell ref="G250:G252"/>
    <mergeCell ref="G244:G246"/>
    <mergeCell ref="A247:A249"/>
    <mergeCell ref="C247:C249"/>
    <mergeCell ref="D247:D249"/>
    <mergeCell ref="E247:E249"/>
    <mergeCell ref="F247:F249"/>
    <mergeCell ref="G247:G249"/>
    <mergeCell ref="A293:A295"/>
    <mergeCell ref="C293:C295"/>
    <mergeCell ref="D293:D295"/>
    <mergeCell ref="E293:E295"/>
    <mergeCell ref="F293:F295"/>
    <mergeCell ref="G293:G295"/>
    <mergeCell ref="B289:C289"/>
    <mergeCell ref="A290:A292"/>
    <mergeCell ref="C290:C292"/>
    <mergeCell ref="D290:D292"/>
    <mergeCell ref="E290:E292"/>
    <mergeCell ref="F290:F292"/>
    <mergeCell ref="A299:A301"/>
    <mergeCell ref="C299:C301"/>
    <mergeCell ref="D299:D301"/>
    <mergeCell ref="E299:E301"/>
    <mergeCell ref="F299:F301"/>
    <mergeCell ref="G299:G301"/>
    <mergeCell ref="A296:A298"/>
    <mergeCell ref="C296:C298"/>
    <mergeCell ref="D296:D298"/>
    <mergeCell ref="E296:E298"/>
    <mergeCell ref="F296:F298"/>
    <mergeCell ref="G296:G298"/>
    <mergeCell ref="M14:M16"/>
    <mergeCell ref="N14:N16"/>
    <mergeCell ref="B274:D275"/>
    <mergeCell ref="E274:F275"/>
    <mergeCell ref="B320:D321"/>
    <mergeCell ref="E320:F321"/>
    <mergeCell ref="H1:N2"/>
    <mergeCell ref="H3:N4"/>
    <mergeCell ref="H6:N6"/>
    <mergeCell ref="H9:J9"/>
    <mergeCell ref="G290:G292"/>
    <mergeCell ref="A277:G278"/>
    <mergeCell ref="A279:G280"/>
    <mergeCell ref="A282:G282"/>
    <mergeCell ref="A285:C285"/>
    <mergeCell ref="D285:F285"/>
    <mergeCell ref="A286:C286"/>
    <mergeCell ref="D286:F286"/>
    <mergeCell ref="A253:A255"/>
    <mergeCell ref="C253:C255"/>
    <mergeCell ref="D253:D255"/>
    <mergeCell ref="E253:E255"/>
    <mergeCell ref="F253:F255"/>
    <mergeCell ref="G253:G255"/>
    <mergeCell ref="K9:N9"/>
    <mergeCell ref="K10:N10"/>
    <mergeCell ref="H23:H25"/>
    <mergeCell ref="J23:J25"/>
    <mergeCell ref="K23:K25"/>
    <mergeCell ref="L23:L25"/>
    <mergeCell ref="M23:M25"/>
    <mergeCell ref="N23:N25"/>
    <mergeCell ref="H20:H22"/>
    <mergeCell ref="J20:J22"/>
    <mergeCell ref="K20:K22"/>
    <mergeCell ref="L20:L22"/>
    <mergeCell ref="M20:M22"/>
    <mergeCell ref="N20:N22"/>
    <mergeCell ref="H17:H19"/>
    <mergeCell ref="J17:J19"/>
    <mergeCell ref="K17:K19"/>
    <mergeCell ref="L17:L19"/>
    <mergeCell ref="M17:M19"/>
    <mergeCell ref="N17:N19"/>
    <mergeCell ref="H14:H16"/>
    <mergeCell ref="J14:J16"/>
    <mergeCell ref="K14:K16"/>
    <mergeCell ref="L14:L16"/>
    <mergeCell ref="K56:N56"/>
    <mergeCell ref="I59:J59"/>
    <mergeCell ref="H60:H62"/>
    <mergeCell ref="J60:J62"/>
    <mergeCell ref="K60:K62"/>
    <mergeCell ref="L60:L62"/>
    <mergeCell ref="M60:M62"/>
    <mergeCell ref="N60:N62"/>
    <mergeCell ref="I44:K45"/>
    <mergeCell ref="L44:M45"/>
    <mergeCell ref="H47:N48"/>
    <mergeCell ref="H49:N50"/>
    <mergeCell ref="H52:N52"/>
    <mergeCell ref="H55:J55"/>
    <mergeCell ref="K55:N55"/>
    <mergeCell ref="H56:J56"/>
    <mergeCell ref="M54:N54"/>
    <mergeCell ref="H66:H68"/>
    <mergeCell ref="J66:J68"/>
    <mergeCell ref="K66:K68"/>
    <mergeCell ref="L66:L68"/>
    <mergeCell ref="M66:M68"/>
    <mergeCell ref="N66:N68"/>
    <mergeCell ref="H63:H65"/>
    <mergeCell ref="J63:J65"/>
    <mergeCell ref="K63:K65"/>
    <mergeCell ref="L63:L65"/>
    <mergeCell ref="M63:M65"/>
    <mergeCell ref="N63:N65"/>
    <mergeCell ref="I90:K91"/>
    <mergeCell ref="L90:M91"/>
    <mergeCell ref="H93:N94"/>
    <mergeCell ref="H95:N96"/>
    <mergeCell ref="H98:N98"/>
    <mergeCell ref="H101:J101"/>
    <mergeCell ref="K101:N101"/>
    <mergeCell ref="H69:H71"/>
    <mergeCell ref="J69:J71"/>
    <mergeCell ref="K69:K71"/>
    <mergeCell ref="L69:L71"/>
    <mergeCell ref="M69:M71"/>
    <mergeCell ref="N69:N71"/>
    <mergeCell ref="H102:J102"/>
    <mergeCell ref="K102:N102"/>
    <mergeCell ref="I105:J105"/>
    <mergeCell ref="H106:H108"/>
    <mergeCell ref="J106:J108"/>
    <mergeCell ref="K106:K108"/>
    <mergeCell ref="L106:L108"/>
    <mergeCell ref="M106:M108"/>
    <mergeCell ref="N106:N108"/>
    <mergeCell ref="K112:K114"/>
    <mergeCell ref="L112:L114"/>
    <mergeCell ref="M112:M114"/>
    <mergeCell ref="N112:N114"/>
    <mergeCell ref="H109:H111"/>
    <mergeCell ref="J109:J111"/>
    <mergeCell ref="K109:K111"/>
    <mergeCell ref="L109:L111"/>
    <mergeCell ref="M109:M111"/>
    <mergeCell ref="N109:N111"/>
    <mergeCell ref="H155:H157"/>
    <mergeCell ref="J155:J157"/>
    <mergeCell ref="K155:K157"/>
    <mergeCell ref="L155:L157"/>
    <mergeCell ref="M155:M157"/>
    <mergeCell ref="N155:N157"/>
    <mergeCell ref="H152:H154"/>
    <mergeCell ref="J152:J154"/>
    <mergeCell ref="K152:K154"/>
    <mergeCell ref="L152:L154"/>
    <mergeCell ref="M152:M154"/>
    <mergeCell ref="N152:N154"/>
    <mergeCell ref="H161:H163"/>
    <mergeCell ref="J161:J163"/>
    <mergeCell ref="K161:K163"/>
    <mergeCell ref="L161:L163"/>
    <mergeCell ref="M161:M163"/>
    <mergeCell ref="N161:N163"/>
    <mergeCell ref="H158:H160"/>
    <mergeCell ref="J158:J160"/>
    <mergeCell ref="K158:K160"/>
    <mergeCell ref="L158:L160"/>
    <mergeCell ref="M158:M160"/>
    <mergeCell ref="N158:N160"/>
    <mergeCell ref="I182:K183"/>
    <mergeCell ref="L182:M183"/>
    <mergeCell ref="O1:U2"/>
    <mergeCell ref="O3:U4"/>
    <mergeCell ref="O6:U6"/>
    <mergeCell ref="O9:Q9"/>
    <mergeCell ref="R9:U9"/>
    <mergeCell ref="O10:Q10"/>
    <mergeCell ref="R10:U10"/>
    <mergeCell ref="P13:Q13"/>
    <mergeCell ref="H144:N144"/>
    <mergeCell ref="H147:J147"/>
    <mergeCell ref="K147:N147"/>
    <mergeCell ref="H148:J148"/>
    <mergeCell ref="K148:N148"/>
    <mergeCell ref="I151:J151"/>
    <mergeCell ref="H115:H117"/>
    <mergeCell ref="J115:J117"/>
    <mergeCell ref="K115:K117"/>
    <mergeCell ref="L115:L117"/>
    <mergeCell ref="M115:M117"/>
    <mergeCell ref="N115:N117"/>
    <mergeCell ref="H112:H114"/>
    <mergeCell ref="J112:J114"/>
    <mergeCell ref="O20:O22"/>
    <mergeCell ref="Q20:Q22"/>
    <mergeCell ref="R20:R22"/>
    <mergeCell ref="S20:S22"/>
    <mergeCell ref="T20:T22"/>
    <mergeCell ref="U20:U22"/>
    <mergeCell ref="T14:T16"/>
    <mergeCell ref="U14:U16"/>
    <mergeCell ref="O17:O19"/>
    <mergeCell ref="Q17:Q19"/>
    <mergeCell ref="R17:R19"/>
    <mergeCell ref="S17:S19"/>
    <mergeCell ref="T17:T19"/>
    <mergeCell ref="U17:U19"/>
    <mergeCell ref="O14:O16"/>
    <mergeCell ref="Q14:Q16"/>
    <mergeCell ref="R14:R16"/>
    <mergeCell ref="S14:S16"/>
    <mergeCell ref="W24:AA24"/>
    <mergeCell ref="V54:Z54"/>
    <mergeCell ref="W38:AC38"/>
    <mergeCell ref="V68:AB68"/>
    <mergeCell ref="V108:Z108"/>
    <mergeCell ref="V159:Z159"/>
    <mergeCell ref="O23:O25"/>
    <mergeCell ref="Q23:Q25"/>
    <mergeCell ref="R23:R25"/>
    <mergeCell ref="S23:S25"/>
    <mergeCell ref="T23:T25"/>
    <mergeCell ref="U23:U25"/>
    <mergeCell ref="O63:O65"/>
    <mergeCell ref="Q63:Q65"/>
    <mergeCell ref="R63:R65"/>
    <mergeCell ref="S63:S65"/>
    <mergeCell ref="T63:T65"/>
    <mergeCell ref="U63:U65"/>
    <mergeCell ref="P90:R91"/>
    <mergeCell ref="S90:T91"/>
    <mergeCell ref="O93:U94"/>
    <mergeCell ref="O95:U96"/>
    <mergeCell ref="O98:U98"/>
    <mergeCell ref="O101:Q101"/>
    <mergeCell ref="W200:AC200"/>
    <mergeCell ref="W214:AC214"/>
    <mergeCell ref="P44:R45"/>
    <mergeCell ref="S44:T45"/>
    <mergeCell ref="O47:U48"/>
    <mergeCell ref="O49:U50"/>
    <mergeCell ref="O52:U52"/>
    <mergeCell ref="O55:Q55"/>
    <mergeCell ref="R55:U55"/>
    <mergeCell ref="O56:Q56"/>
    <mergeCell ref="R56:U56"/>
    <mergeCell ref="P59:Q59"/>
    <mergeCell ref="O60:O62"/>
    <mergeCell ref="Q60:Q62"/>
    <mergeCell ref="R60:R62"/>
    <mergeCell ref="S60:S62"/>
    <mergeCell ref="T60:T62"/>
    <mergeCell ref="U60:U62"/>
    <mergeCell ref="O66:O68"/>
    <mergeCell ref="Q66:Q68"/>
    <mergeCell ref="R66:R68"/>
    <mergeCell ref="S66:S68"/>
    <mergeCell ref="T66:T68"/>
    <mergeCell ref="U66:U68"/>
    <mergeCell ref="R101:U101"/>
    <mergeCell ref="O69:O71"/>
    <mergeCell ref="Q69:Q71"/>
    <mergeCell ref="R69:R71"/>
    <mergeCell ref="S69:S71"/>
    <mergeCell ref="T69:T71"/>
    <mergeCell ref="U69:U71"/>
    <mergeCell ref="O102:Q102"/>
    <mergeCell ref="R102:U102"/>
    <mergeCell ref="P105:Q105"/>
    <mergeCell ref="O106:O108"/>
    <mergeCell ref="Q106:Q108"/>
    <mergeCell ref="R106:R108"/>
    <mergeCell ref="S106:S108"/>
    <mergeCell ref="T106:T108"/>
    <mergeCell ref="U106:U108"/>
    <mergeCell ref="O112:O114"/>
    <mergeCell ref="Q112:Q114"/>
    <mergeCell ref="R112:R114"/>
    <mergeCell ref="S112:S114"/>
    <mergeCell ref="T112:T114"/>
    <mergeCell ref="U112:U114"/>
    <mergeCell ref="O109:O111"/>
    <mergeCell ref="Q109:Q111"/>
    <mergeCell ref="R109:R111"/>
    <mergeCell ref="S109:S111"/>
    <mergeCell ref="T109:T111"/>
    <mergeCell ref="U109:U111"/>
    <mergeCell ref="O139:U140"/>
    <mergeCell ref="O141:U142"/>
    <mergeCell ref="O144:U144"/>
    <mergeCell ref="O147:Q147"/>
    <mergeCell ref="R147:U147"/>
    <mergeCell ref="O115:O117"/>
    <mergeCell ref="Q115:Q117"/>
    <mergeCell ref="R115:R117"/>
    <mergeCell ref="S115:S117"/>
    <mergeCell ref="T115:T117"/>
    <mergeCell ref="U115:U117"/>
    <mergeCell ref="P136:R137"/>
    <mergeCell ref="S136:T137"/>
    <mergeCell ref="R155:R157"/>
    <mergeCell ref="S155:S157"/>
    <mergeCell ref="T155:T157"/>
    <mergeCell ref="U155:U157"/>
    <mergeCell ref="O148:Q148"/>
    <mergeCell ref="R148:U148"/>
    <mergeCell ref="P151:Q151"/>
    <mergeCell ref="O152:O154"/>
    <mergeCell ref="Q152:Q154"/>
    <mergeCell ref="R152:R154"/>
    <mergeCell ref="S152:S154"/>
    <mergeCell ref="T152:T154"/>
    <mergeCell ref="U152:U154"/>
    <mergeCell ref="U198:U200"/>
    <mergeCell ref="O201:O203"/>
    <mergeCell ref="Q201:Q203"/>
    <mergeCell ref="R201:R203"/>
    <mergeCell ref="S201:S203"/>
    <mergeCell ref="T201:T203"/>
    <mergeCell ref="U201:U203"/>
    <mergeCell ref="O198:O200"/>
    <mergeCell ref="Q198:Q200"/>
    <mergeCell ref="R198:R200"/>
    <mergeCell ref="S198:S200"/>
    <mergeCell ref="T198:T200"/>
    <mergeCell ref="P228:R229"/>
    <mergeCell ref="S228:T229"/>
    <mergeCell ref="P182:R183"/>
    <mergeCell ref="S182:T183"/>
    <mergeCell ref="O207:O209"/>
    <mergeCell ref="Q207:Q209"/>
    <mergeCell ref="R207:R209"/>
    <mergeCell ref="S207:S209"/>
    <mergeCell ref="T207:T209"/>
    <mergeCell ref="P197:Q197"/>
    <mergeCell ref="O185:U186"/>
    <mergeCell ref="O187:U188"/>
    <mergeCell ref="O190:U190"/>
    <mergeCell ref="O193:Q193"/>
    <mergeCell ref="R193:U193"/>
    <mergeCell ref="O194:Q194"/>
    <mergeCell ref="R194:U194"/>
    <mergeCell ref="U207:U209"/>
    <mergeCell ref="O204:O206"/>
    <mergeCell ref="Q204:Q206"/>
    <mergeCell ref="R204:R206"/>
    <mergeCell ref="S204:S206"/>
    <mergeCell ref="T204:T206"/>
    <mergeCell ref="U204:U206"/>
    <mergeCell ref="A323:G324"/>
    <mergeCell ref="A325:G326"/>
    <mergeCell ref="A328:G328"/>
    <mergeCell ref="A331:C331"/>
    <mergeCell ref="D331:F331"/>
    <mergeCell ref="A332:C332"/>
    <mergeCell ref="D332:F332"/>
    <mergeCell ref="B335:C335"/>
    <mergeCell ref="A336:A338"/>
    <mergeCell ref="C336:C338"/>
    <mergeCell ref="D336:D338"/>
    <mergeCell ref="E336:E338"/>
    <mergeCell ref="F336:F338"/>
    <mergeCell ref="G336:G338"/>
    <mergeCell ref="A345:A347"/>
    <mergeCell ref="C345:C347"/>
    <mergeCell ref="D345:D347"/>
    <mergeCell ref="E345:E347"/>
    <mergeCell ref="F345:F347"/>
    <mergeCell ref="G345:G347"/>
    <mergeCell ref="B366:D367"/>
    <mergeCell ref="E366:F367"/>
    <mergeCell ref="F330:G330"/>
    <mergeCell ref="A339:A341"/>
    <mergeCell ref="C339:C341"/>
    <mergeCell ref="D339:D341"/>
    <mergeCell ref="E339:E341"/>
    <mergeCell ref="F339:F341"/>
    <mergeCell ref="G339:G341"/>
    <mergeCell ref="A342:A344"/>
    <mergeCell ref="C342:C344"/>
    <mergeCell ref="D342:D344"/>
    <mergeCell ref="E342:E344"/>
    <mergeCell ref="F342:F344"/>
    <mergeCell ref="G342:G344"/>
    <mergeCell ref="F284:G284"/>
    <mergeCell ref="F238:G238"/>
    <mergeCell ref="F192:G192"/>
    <mergeCell ref="F146:G146"/>
    <mergeCell ref="F100:G100"/>
    <mergeCell ref="T192:U192"/>
    <mergeCell ref="T146:U146"/>
    <mergeCell ref="M146:N146"/>
    <mergeCell ref="M100:N100"/>
    <mergeCell ref="T100:U100"/>
    <mergeCell ref="H194:J194"/>
    <mergeCell ref="K194:N194"/>
    <mergeCell ref="I197:J197"/>
    <mergeCell ref="H198:H200"/>
    <mergeCell ref="J198:J200"/>
    <mergeCell ref="K198:K200"/>
    <mergeCell ref="L198:L200"/>
    <mergeCell ref="M198:M200"/>
    <mergeCell ref="N198:N200"/>
    <mergeCell ref="H201:H203"/>
    <mergeCell ref="J201:J203"/>
    <mergeCell ref="K201:K203"/>
    <mergeCell ref="L201:L203"/>
    <mergeCell ref="M201:M203"/>
    <mergeCell ref="T54:U54"/>
    <mergeCell ref="T8:U8"/>
    <mergeCell ref="M8:N8"/>
    <mergeCell ref="F8:G8"/>
    <mergeCell ref="H185:N186"/>
    <mergeCell ref="H187:N188"/>
    <mergeCell ref="H190:N190"/>
    <mergeCell ref="M192:N192"/>
    <mergeCell ref="H193:J193"/>
    <mergeCell ref="K193:N193"/>
    <mergeCell ref="O161:O163"/>
    <mergeCell ref="Q161:Q163"/>
    <mergeCell ref="R161:R163"/>
    <mergeCell ref="S161:S163"/>
    <mergeCell ref="T161:T163"/>
    <mergeCell ref="U161:U163"/>
    <mergeCell ref="O158:O160"/>
    <mergeCell ref="Q158:Q160"/>
    <mergeCell ref="R158:R160"/>
    <mergeCell ref="S158:S160"/>
    <mergeCell ref="T158:T160"/>
    <mergeCell ref="U158:U160"/>
    <mergeCell ref="O155:O157"/>
    <mergeCell ref="Q155:Q157"/>
    <mergeCell ref="I228:K229"/>
    <mergeCell ref="L228:M229"/>
    <mergeCell ref="N201:N203"/>
    <mergeCell ref="H204:H206"/>
    <mergeCell ref="J204:J206"/>
    <mergeCell ref="K204:K206"/>
    <mergeCell ref="L204:L206"/>
    <mergeCell ref="M204:M206"/>
    <mergeCell ref="N204:N206"/>
    <mergeCell ref="H207:H209"/>
    <mergeCell ref="J207:J209"/>
    <mergeCell ref="K207:K209"/>
    <mergeCell ref="L207:L209"/>
    <mergeCell ref="M207:M209"/>
    <mergeCell ref="N207:N20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A1 clasificacion</vt:lpstr>
      <vt:lpstr>Anexos Cuchara</vt:lpstr>
      <vt:lpstr>Anexos Cono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AndresDAAC</dc:creator>
  <cp:lastModifiedBy>AndresDAAC</cp:lastModifiedBy>
  <cp:lastPrinted>2019-03-19T20:10:45Z</cp:lastPrinted>
  <dcterms:created xsi:type="dcterms:W3CDTF">2018-12-16T19:19:49Z</dcterms:created>
  <dcterms:modified xsi:type="dcterms:W3CDTF">2019-04-04T18:17:24Z</dcterms:modified>
</cp:coreProperties>
</file>